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 activeTab="2"/>
  </bookViews>
  <sheets>
    <sheet name="2013 " sheetId="1" r:id="rId1"/>
    <sheet name="план-отчет2012" sheetId="2" r:id="rId2"/>
    <sheet name="отчет2012" sheetId="3" r:id="rId3"/>
  </sheets>
  <externalReferences>
    <externalReference r:id="rId4"/>
    <externalReference r:id="rId5"/>
    <externalReference r:id="rId6"/>
  </externalReferences>
  <calcPr calcId="145621" refMode="R1C1"/>
</workbook>
</file>

<file path=xl/calcChain.xml><?xml version="1.0" encoding="utf-8"?>
<calcChain xmlns="http://schemas.openxmlformats.org/spreadsheetml/2006/main">
  <c r="I21" i="3" l="1"/>
  <c r="I11" i="3"/>
  <c r="I12" i="3"/>
  <c r="I13" i="3"/>
  <c r="I14" i="3"/>
  <c r="I15" i="3"/>
  <c r="I16" i="3"/>
  <c r="I17" i="3"/>
  <c r="I18" i="3"/>
  <c r="I19" i="3"/>
  <c r="I20" i="3"/>
  <c r="I10" i="3"/>
  <c r="E96" i="3"/>
  <c r="C95" i="3"/>
  <c r="F95" i="3" s="1"/>
  <c r="C94" i="3"/>
  <c r="F94" i="3" s="1"/>
  <c r="C93" i="3"/>
  <c r="F93" i="3" s="1"/>
  <c r="C92" i="3"/>
  <c r="F92" i="3" s="1"/>
  <c r="C91" i="3"/>
  <c r="F91" i="3" s="1"/>
  <c r="C90" i="3"/>
  <c r="F90" i="3" s="1"/>
  <c r="C89" i="3"/>
  <c r="F89" i="3" s="1"/>
  <c r="C88" i="3"/>
  <c r="F88" i="3" s="1"/>
  <c r="C87" i="3"/>
  <c r="F87" i="3" s="1"/>
  <c r="C86" i="3"/>
  <c r="F86" i="3" s="1"/>
  <c r="C85" i="3"/>
  <c r="F85" i="3" s="1"/>
  <c r="C84" i="3"/>
  <c r="C96" i="3" s="1"/>
  <c r="E79" i="3"/>
  <c r="F79" i="3" s="1"/>
  <c r="C79" i="3"/>
  <c r="E78" i="3"/>
  <c r="C78" i="3"/>
  <c r="F78" i="3" s="1"/>
  <c r="E77" i="3"/>
  <c r="F77" i="3" s="1"/>
  <c r="C77" i="3"/>
  <c r="E76" i="3"/>
  <c r="C76" i="3"/>
  <c r="F76" i="3" s="1"/>
  <c r="E75" i="3"/>
  <c r="F75" i="3" s="1"/>
  <c r="C75" i="3"/>
  <c r="E74" i="3"/>
  <c r="C74" i="3"/>
  <c r="F74" i="3" s="1"/>
  <c r="E73" i="3"/>
  <c r="F73" i="3" s="1"/>
  <c r="C73" i="3"/>
  <c r="F72" i="3"/>
  <c r="E72" i="3"/>
  <c r="D72" i="3"/>
  <c r="C72" i="3"/>
  <c r="E71" i="3"/>
  <c r="C71" i="3"/>
  <c r="F71" i="3" s="1"/>
  <c r="E70" i="3"/>
  <c r="F70" i="3" s="1"/>
  <c r="C70" i="3"/>
  <c r="E69" i="3"/>
  <c r="C69" i="3"/>
  <c r="F69" i="3" s="1"/>
  <c r="E68" i="3"/>
  <c r="E80" i="3" s="1"/>
  <c r="D68" i="3"/>
  <c r="D80" i="3" s="1"/>
  <c r="C68" i="3"/>
  <c r="C80" i="3" s="1"/>
  <c r="E63" i="3"/>
  <c r="F63" i="3" s="1"/>
  <c r="C63" i="3"/>
  <c r="E62" i="3"/>
  <c r="C62" i="3"/>
  <c r="F62" i="3" s="1"/>
  <c r="E61" i="3"/>
  <c r="F61" i="3" s="1"/>
  <c r="C61" i="3"/>
  <c r="E60" i="3"/>
  <c r="C60" i="3"/>
  <c r="F60" i="3" s="1"/>
  <c r="E59" i="3"/>
  <c r="F59" i="3" s="1"/>
  <c r="C59" i="3"/>
  <c r="E58" i="3"/>
  <c r="C58" i="3"/>
  <c r="F58" i="3" s="1"/>
  <c r="E57" i="3"/>
  <c r="F57" i="3" s="1"/>
  <c r="C57" i="3"/>
  <c r="F56" i="3"/>
  <c r="E56" i="3"/>
  <c r="D56" i="3"/>
  <c r="C56" i="3"/>
  <c r="E55" i="3"/>
  <c r="C55" i="3"/>
  <c r="F55" i="3" s="1"/>
  <c r="E54" i="3"/>
  <c r="F54" i="3" s="1"/>
  <c r="C54" i="3"/>
  <c r="E53" i="3"/>
  <c r="C53" i="3"/>
  <c r="F53" i="3" s="1"/>
  <c r="E52" i="3"/>
  <c r="E64" i="3" s="1"/>
  <c r="D52" i="3"/>
  <c r="D64" i="3" s="1"/>
  <c r="C52" i="3"/>
  <c r="C64" i="3" s="1"/>
  <c r="D48" i="3"/>
  <c r="E47" i="3"/>
  <c r="F47" i="3" s="1"/>
  <c r="C47" i="3"/>
  <c r="E46" i="3"/>
  <c r="C46" i="3"/>
  <c r="F46" i="3" s="1"/>
  <c r="E45" i="3"/>
  <c r="F45" i="3" s="1"/>
  <c r="C45" i="3"/>
  <c r="E44" i="3"/>
  <c r="C44" i="3"/>
  <c r="F44" i="3" s="1"/>
  <c r="E43" i="3"/>
  <c r="F43" i="3" s="1"/>
  <c r="C43" i="3"/>
  <c r="E42" i="3"/>
  <c r="C42" i="3"/>
  <c r="F42" i="3" s="1"/>
  <c r="E41" i="3"/>
  <c r="F41" i="3" s="1"/>
  <c r="C41" i="3"/>
  <c r="E40" i="3"/>
  <c r="C40" i="3"/>
  <c r="F40" i="3" s="1"/>
  <c r="E39" i="3"/>
  <c r="F39" i="3" s="1"/>
  <c r="C39" i="3"/>
  <c r="E38" i="3"/>
  <c r="C38" i="3"/>
  <c r="F38" i="3" s="1"/>
  <c r="E37" i="3"/>
  <c r="F37" i="3" s="1"/>
  <c r="C37" i="3"/>
  <c r="E36" i="3"/>
  <c r="E48" i="3" s="1"/>
  <c r="C36" i="3"/>
  <c r="C48" i="3" s="1"/>
  <c r="H26" i="3"/>
  <c r="F21" i="3"/>
  <c r="G21" i="3" s="1"/>
  <c r="E21" i="3"/>
  <c r="F23" i="3" s="1"/>
  <c r="H24" i="3" s="1"/>
  <c r="D21" i="3"/>
  <c r="E22" i="3" s="1"/>
  <c r="C21" i="3"/>
  <c r="D22" i="3" s="1"/>
  <c r="H20" i="3"/>
  <c r="H19" i="3"/>
  <c r="H18" i="3"/>
  <c r="H17" i="3"/>
  <c r="H16" i="3"/>
  <c r="H15" i="3"/>
  <c r="H14" i="3"/>
  <c r="H13" i="3"/>
  <c r="H12" i="3"/>
  <c r="H11" i="3"/>
  <c r="H10" i="3"/>
  <c r="H25" i="3" l="1"/>
  <c r="H27" i="3" s="1"/>
  <c r="F52" i="3"/>
  <c r="F64" i="3" s="1"/>
  <c r="F68" i="3"/>
  <c r="F80" i="3" s="1"/>
  <c r="F84" i="3"/>
  <c r="F96" i="3" s="1"/>
  <c r="H21" i="3"/>
  <c r="F36" i="3"/>
  <c r="F48" i="3" s="1"/>
  <c r="H18" i="2" l="1"/>
  <c r="G49" i="2" l="1"/>
  <c r="D44" i="2"/>
  <c r="E44" i="2" s="1"/>
  <c r="D43" i="2"/>
  <c r="E43" i="2" s="1"/>
  <c r="D42" i="2"/>
  <c r="E42" i="2" s="1"/>
  <c r="D41" i="2"/>
  <c r="E41" i="2" s="1"/>
  <c r="D40" i="2"/>
  <c r="E40" i="2" s="1"/>
  <c r="F39" i="2"/>
  <c r="E39" i="2"/>
  <c r="F38" i="2"/>
  <c r="D37" i="2"/>
  <c r="E37" i="2" s="1"/>
  <c r="E36" i="2"/>
  <c r="D36" i="2"/>
  <c r="F34" i="2"/>
  <c r="E34" i="2"/>
  <c r="E33" i="2"/>
  <c r="F31" i="2"/>
  <c r="E31" i="2"/>
  <c r="D31" i="2"/>
  <c r="F29" i="2"/>
  <c r="D29" i="2"/>
  <c r="D30" i="2" s="1"/>
  <c r="E30" i="2" s="1"/>
  <c r="E27" i="2"/>
  <c r="E26" i="2"/>
  <c r="E25" i="2"/>
  <c r="E24" i="2"/>
  <c r="E23" i="2"/>
  <c r="E22" i="2"/>
  <c r="D21" i="2"/>
  <c r="E47" i="2" s="1"/>
  <c r="E20" i="2"/>
  <c r="F18" i="2"/>
  <c r="F17" i="2"/>
  <c r="E17" i="2"/>
  <c r="D17" i="2"/>
  <c r="F15" i="2"/>
  <c r="E15" i="2"/>
  <c r="E14" i="2"/>
  <c r="E13" i="2"/>
  <c r="F11" i="2"/>
  <c r="D11" i="2"/>
  <c r="E11" i="2" s="1"/>
  <c r="F9" i="2"/>
  <c r="E9" i="2"/>
  <c r="E8" i="2"/>
  <c r="E7" i="2"/>
  <c r="F6" i="2"/>
  <c r="F45" i="2" s="1"/>
  <c r="D6" i="2"/>
  <c r="E5" i="2"/>
  <c r="F31" i="1"/>
  <c r="E31" i="1"/>
  <c r="D30" i="1"/>
  <c r="D29" i="1"/>
  <c r="E29" i="1" s="1"/>
  <c r="E28" i="1"/>
  <c r="D28" i="1"/>
  <c r="F28" i="1" s="1"/>
  <c r="D27" i="1"/>
  <c r="E27" i="1" s="1"/>
  <c r="E26" i="1"/>
  <c r="D26" i="1"/>
  <c r="F26" i="1" s="1"/>
  <c r="F25" i="1"/>
  <c r="E25" i="1"/>
  <c r="D24" i="1"/>
  <c r="E24" i="1" s="1"/>
  <c r="F23" i="1"/>
  <c r="E23" i="1"/>
  <c r="E22" i="1"/>
  <c r="D22" i="1"/>
  <c r="F22" i="1" s="1"/>
  <c r="D21" i="1"/>
  <c r="E21" i="1" s="1"/>
  <c r="F20" i="1"/>
  <c r="E20" i="1"/>
  <c r="D17" i="1"/>
  <c r="E17" i="1" s="1"/>
  <c r="D16" i="1"/>
  <c r="D18" i="1" s="1"/>
  <c r="D14" i="1"/>
  <c r="E14" i="1" s="1"/>
  <c r="F13" i="1"/>
  <c r="E13" i="1"/>
  <c r="F12" i="1"/>
  <c r="E12" i="1"/>
  <c r="F11" i="1"/>
  <c r="E11" i="1"/>
  <c r="F10" i="1"/>
  <c r="E10" i="1"/>
  <c r="F8" i="1"/>
  <c r="E8" i="1"/>
  <c r="E6" i="1"/>
  <c r="D6" i="1"/>
  <c r="F6" i="1" s="1"/>
  <c r="F5" i="1"/>
  <c r="E5" i="1"/>
  <c r="D45" i="2" l="1"/>
  <c r="E45" i="2" s="1"/>
  <c r="F49" i="2" s="1"/>
  <c r="H49" i="2" s="1"/>
  <c r="E6" i="2"/>
  <c r="F47" i="2"/>
  <c r="E21" i="2"/>
  <c r="E29" i="2"/>
  <c r="F14" i="1"/>
  <c r="F16" i="1"/>
  <c r="F17" i="1"/>
  <c r="F21" i="1"/>
  <c r="F24" i="1"/>
  <c r="F27" i="1"/>
  <c r="F29" i="1"/>
  <c r="E16" i="1"/>
</calcChain>
</file>

<file path=xl/comments1.xml><?xml version="1.0" encoding="utf-8"?>
<comments xmlns="http://schemas.openxmlformats.org/spreadsheetml/2006/main">
  <authors>
    <author>User</author>
  </authors>
  <commentList>
    <comment ref="F2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столбов
</t>
        </r>
      </text>
    </comment>
  </commentList>
</comments>
</file>

<file path=xl/comments2.xml><?xml version="1.0" encoding="utf-8"?>
<comments xmlns="http://schemas.openxmlformats.org/spreadsheetml/2006/main">
  <authors>
    <author>1</author>
  </authors>
  <commentList>
    <comment ref="C38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314м3</t>
        </r>
      </text>
    </comment>
    <comment ref="E38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400м3</t>
        </r>
      </text>
    </comment>
    <comment ref="C40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342м3</t>
        </r>
      </text>
    </comment>
    <comment ref="E40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342,474-85,352
</t>
        </r>
      </text>
    </comment>
    <comment ref="C42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407,431м3</t>
        </r>
      </text>
    </comment>
    <comment ref="E42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465,628м3</t>
        </r>
      </text>
    </comment>
    <comment ref="C55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расчет по старому тарифу
</t>
        </r>
      </text>
    </comment>
    <comment ref="C71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по старому тарифу расчет</t>
        </r>
      </text>
    </comment>
  </commentList>
</comments>
</file>

<file path=xl/sharedStrings.xml><?xml version="1.0" encoding="utf-8"?>
<sst xmlns="http://schemas.openxmlformats.org/spreadsheetml/2006/main" count="278" uniqueCount="139">
  <si>
    <t>План работ по содержанию и ремонту  ОИМД   Озёрная.100</t>
  </si>
  <si>
    <t>на 2013 год</t>
  </si>
  <si>
    <t xml:space="preserve">№ п\п </t>
  </si>
  <si>
    <t>Вид работ</t>
  </si>
  <si>
    <t>срок исполнения</t>
  </si>
  <si>
    <r>
      <t xml:space="preserve">ориентировочная сумма, рублей в </t>
    </r>
    <r>
      <rPr>
        <b/>
        <sz val="8"/>
        <rFont val="Arial Cyr"/>
        <charset val="204"/>
      </rPr>
      <t>год</t>
    </r>
  </si>
  <si>
    <r>
      <t xml:space="preserve">ориентировочная сумма, рублей в </t>
    </r>
    <r>
      <rPr>
        <b/>
        <sz val="8"/>
        <rFont val="Arial Cyr"/>
        <charset val="204"/>
      </rPr>
      <t>месяц</t>
    </r>
  </si>
  <si>
    <t>стоимость работ на 1 кв.м площади в месяц</t>
  </si>
  <si>
    <t>Вид обсл</t>
  </si>
  <si>
    <t>Санитарно-технические работы</t>
  </si>
  <si>
    <t>Перемонтаж линии ГВС</t>
  </si>
  <si>
    <t>тр</t>
  </si>
  <si>
    <t>июль-октябрь</t>
  </si>
  <si>
    <t>ТО</t>
  </si>
  <si>
    <t>то</t>
  </si>
  <si>
    <t>Электротехнические работы</t>
  </si>
  <si>
    <t>июнь. декабрь</t>
  </si>
  <si>
    <t>Общестроительные работы</t>
  </si>
  <si>
    <t>Ремонт ограждений лоджий третий подъезд (доработанный проект технадзором)</t>
  </si>
  <si>
    <t>апрель-июнь</t>
  </si>
  <si>
    <t>май-сентябрь</t>
  </si>
  <si>
    <t>Ремонт подъездов 1,2</t>
  </si>
  <si>
    <t>Ремонт кровли местами над кв.17 и над. Кв.88</t>
  </si>
  <si>
    <t>Прочистка вент каналов</t>
  </si>
  <si>
    <t>май-июль</t>
  </si>
  <si>
    <t>май-июнь</t>
  </si>
  <si>
    <t>Благоустройство и санитарная обработка</t>
  </si>
  <si>
    <t>Уборка придомовой территории и экспл. Мус-да</t>
  </si>
  <si>
    <t>Уборка подъездов</t>
  </si>
  <si>
    <t>ежемесячно</t>
  </si>
  <si>
    <t>прочие работы по благоустройству</t>
  </si>
  <si>
    <t>Прочие работы</t>
  </si>
  <si>
    <t>Экспертиза фундамента</t>
  </si>
  <si>
    <t>Другие прочие работы</t>
  </si>
  <si>
    <t>АДС</t>
  </si>
  <si>
    <t>постоянно</t>
  </si>
  <si>
    <t>Аварийные (непредвиденные) работы</t>
  </si>
  <si>
    <t>по мере необходимости</t>
  </si>
  <si>
    <t>Услуги управления</t>
  </si>
  <si>
    <t>Услуги по % за перечисление ден. Средств (банк. почта)</t>
  </si>
  <si>
    <t>Услуги по изготовлению платёжек</t>
  </si>
  <si>
    <t>Услуги по ведению паспорт. учёта</t>
  </si>
  <si>
    <t>Оплата председателю совета дома</t>
  </si>
  <si>
    <t>Оплата членам  совета дома</t>
  </si>
  <si>
    <t>Возврат по строке "Содержание" за 2012 год</t>
  </si>
  <si>
    <t>Всего</t>
  </si>
  <si>
    <t>План по содержанию и ремонту  ОИМД   Озёрная.100</t>
  </si>
  <si>
    <t>на 2012 год</t>
  </si>
  <si>
    <t>ориентировочная сумма, рублей в год</t>
  </si>
  <si>
    <t>Факт 2012 года</t>
  </si>
  <si>
    <t>Примечание</t>
  </si>
  <si>
    <t>Ремонт обратки ГВС (устройство воздушников), чистка фильтров</t>
  </si>
  <si>
    <t>май</t>
  </si>
  <si>
    <t>сделано</t>
  </si>
  <si>
    <t>Замена стояков КС 2  стояка кв.39,кв.56</t>
  </si>
  <si>
    <t>июнь-сентябрь</t>
  </si>
  <si>
    <t>Ревизия (при необходимости замена) запорной арматуры ХВС, ГВС в подвале</t>
  </si>
  <si>
    <t>Запуск отопления (ревизия,опрессовка,испытание)</t>
  </si>
  <si>
    <t>сентябрь-октябрь</t>
  </si>
  <si>
    <t>Смена вентилей ХВС, ГВС в квартирах</t>
  </si>
  <si>
    <t>материалы:</t>
  </si>
  <si>
    <t xml:space="preserve">сантехнические </t>
  </si>
  <si>
    <t>Устройство заземления по ст.КС</t>
  </si>
  <si>
    <t>Ревизия электрооборудования 2 раза в год</t>
  </si>
  <si>
    <t>Замена лампочек в подъездах. Подвале</t>
  </si>
  <si>
    <t>лампы</t>
  </si>
  <si>
    <t>Прочие материалы</t>
  </si>
  <si>
    <t>Ремонт балконов третий подъезд</t>
  </si>
  <si>
    <t>работы по восстановлению ограждений лоджий на 6 месяцев</t>
  </si>
  <si>
    <t xml:space="preserve">Бетонирование отмостки после замены выпуска КС  и площадок у подъездов </t>
  </si>
  <si>
    <t>Устройство теплоизоляции над кв.18</t>
  </si>
  <si>
    <t>апрель</t>
  </si>
  <si>
    <t>Устройство нежилого помещения в кв75</t>
  </si>
  <si>
    <t>Весенний осмотр</t>
  </si>
  <si>
    <t>Проверка вентканалов</t>
  </si>
  <si>
    <t>Уборка придомовой территории</t>
  </si>
  <si>
    <t>Эксплуатация мусоропровода</t>
  </si>
  <si>
    <t>саженцы, цветы</t>
  </si>
  <si>
    <t>лопаты, веник, моющие, перчатки и пр.</t>
  </si>
  <si>
    <t>Договор с Дерендяевым А.А. на мелкий ремонт (сантехника и общестроительные)</t>
  </si>
  <si>
    <t xml:space="preserve">Справка-отчет </t>
  </si>
  <si>
    <t>финансового состояния</t>
  </si>
  <si>
    <t xml:space="preserve">дома №100 по ул. Озёрная </t>
  </si>
  <si>
    <t xml:space="preserve">                                   </t>
  </si>
  <si>
    <t>за  апрель 2012-март 2013год</t>
  </si>
  <si>
    <t>(рублей)</t>
  </si>
  <si>
    <t>Сальдо на 01.04.2012 по предоставленным услугам</t>
  </si>
  <si>
    <t>Сальдо на 01.04.2012 по оплате с учетом долга жителей</t>
  </si>
  <si>
    <t>услуга</t>
  </si>
  <si>
    <t>№ строки</t>
  </si>
  <si>
    <t>Выставлено поставщиками услуг актов на сумму</t>
  </si>
  <si>
    <t>Принято услуг от  поставщиков  на сумму</t>
  </si>
  <si>
    <t>Начислено по платежкам с разбивкой по услугам</t>
  </si>
  <si>
    <t>оплачено населением</t>
  </si>
  <si>
    <t>% оплаты населением</t>
  </si>
  <si>
    <t>Разница  между гр.4-гр.5</t>
  </si>
  <si>
    <t>Содержание ОИМД+экспл. Мусоропровода</t>
  </si>
  <si>
    <t>Кап. Ремонт</t>
  </si>
  <si>
    <t xml:space="preserve">Г.вода </t>
  </si>
  <si>
    <t>Водоотведение</t>
  </si>
  <si>
    <t>Водоснабжение</t>
  </si>
  <si>
    <t>Вывоз мусора</t>
  </si>
  <si>
    <t>Отопление</t>
  </si>
  <si>
    <t>ТО домофона</t>
  </si>
  <si>
    <t>антенна</t>
  </si>
  <si>
    <t>Электроэнергия МОП</t>
  </si>
  <si>
    <t>пени</t>
  </si>
  <si>
    <t>Разница "Всего" между гр.3-гр.4</t>
  </si>
  <si>
    <t xml:space="preserve">Задолженность  жителей по оплате (гр.5-гр.6)  </t>
  </si>
  <si>
    <r>
      <t>Задолженность  жителей по оплате на 01.04.2013г.</t>
    </r>
    <r>
      <rPr>
        <sz val="10"/>
        <rFont val="Arial Cyr"/>
        <charset val="204"/>
      </rPr>
      <t xml:space="preserve"> с учетом сальдо</t>
    </r>
  </si>
  <si>
    <r>
      <t xml:space="preserve">Задолженность жителей по предоставленным услугам на 01.04.2013год </t>
    </r>
    <r>
      <rPr>
        <sz val="10"/>
        <rFont val="Arial Cyr"/>
        <charset val="204"/>
      </rPr>
      <t>с учетом сальдо</t>
    </r>
  </si>
  <si>
    <t>доход по договору с Ростелекомом</t>
  </si>
  <si>
    <t>Итого задолженность  жителей</t>
  </si>
  <si>
    <t xml:space="preserve">Генеральный директор ООО "УК"Перспектива"                                                                       </t>
  </si>
  <si>
    <t xml:space="preserve"> Л.В. Тягина</t>
  </si>
  <si>
    <t xml:space="preserve">Отчет утвержден председателем совета мжд №100 по ул. Озёрная           </t>
  </si>
  <si>
    <t xml:space="preserve"> Г.А.Данилова</t>
  </si>
  <si>
    <t>РАСЧЕТ ПО ГВС</t>
  </si>
  <si>
    <t>нач-но ано</t>
  </si>
  <si>
    <t>перерасчет перспектива</t>
  </si>
  <si>
    <t>принято</t>
  </si>
  <si>
    <t>разница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</si>
  <si>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</si>
  <si>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</si>
  <si>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</si>
  <si>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</si>
  <si>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</si>
  <si>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</si>
  <si>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</si>
  <si>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</si>
  <si>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</si>
  <si>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</si>
  <si>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ИТОГО</t>
  </si>
  <si>
    <t>РАСЧЕТ ПО ХВС</t>
  </si>
  <si>
    <t xml:space="preserve">нач-но </t>
  </si>
  <si>
    <t>на содержание</t>
  </si>
  <si>
    <t>РАСЧЕТ ПО КС</t>
  </si>
  <si>
    <t>РАСЧЕТ ПО электро</t>
  </si>
  <si>
    <t>Задолженность жителей (гр.5-гр.6)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</si>
</sst>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-* #,##0_р_._-;\-* #,##0_р_._-;_-* &quot;-&quot;??_р_._-;_-@_-"/>
    <numFmt numFmtId="166" formatCode="_(* #,##0_);_(* \(#,##0\);_(* &quot;-&quot;??_);_(@_)"/>
  </numFmts>
  <fonts count="33" x14ac:knownFonts="1">
    <font>
      <sz val="10"/>
      <name val="Arial"/>
    </font>
    <font>
      <sz val="10"/>
      <name val="Arial Cyr"/>
      <charset val="204"/>
    </font>
    <font>
      <sz val="12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10"/>
      <name val="Arial CYR"/>
    </font>
    <font>
      <sz val="8"/>
      <name val="Arial CYR"/>
    </font>
    <font>
      <b/>
      <sz val="10"/>
      <name val="Arial CY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7"/>
      <name val="Arial Cyr"/>
      <charset val="204"/>
    </font>
    <font>
      <sz val="11"/>
      <name val="Arial CYR"/>
    </font>
    <font>
      <sz val="10"/>
      <name val="Arial"/>
    </font>
    <font>
      <b/>
      <sz val="12"/>
      <name val="Arial Cyr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 Cyr"/>
      <charset val="204"/>
    </font>
    <font>
      <sz val="8"/>
      <name val="Arial"/>
      <family val="2"/>
      <charset val="204"/>
    </font>
    <font>
      <b/>
      <sz val="11"/>
      <name val="Arial Cyr"/>
      <charset val="204"/>
    </font>
    <font>
      <sz val="12"/>
      <name val="Arial Cyr"/>
      <charset val="204"/>
    </font>
    <font>
      <sz val="6"/>
      <name val="Arial Cyr"/>
      <charset val="204"/>
    </font>
    <font>
      <sz val="6"/>
      <color indexed="63"/>
      <name val="Arial Cyr"/>
      <charset val="204"/>
    </font>
    <font>
      <sz val="10"/>
      <color indexed="63"/>
      <name val="Arial"/>
      <family val="2"/>
      <charset val="204"/>
    </font>
    <font>
      <b/>
      <i/>
      <sz val="11"/>
      <name val="Arial Cyr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charset val="204"/>
    </font>
    <font>
      <sz val="10"/>
      <color indexed="63"/>
      <name val="Arial Cyr"/>
      <charset val="204"/>
    </font>
    <font>
      <sz val="14"/>
      <name val="Arial Cyr"/>
      <charset val="204"/>
    </font>
    <font>
      <b/>
      <i/>
      <sz val="14"/>
      <name val="Arial Cyr"/>
      <charset val="204"/>
    </font>
    <font>
      <sz val="11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153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44" fontId="2" fillId="0" borderId="0" xfId="2" applyFont="1" applyAlignment="1">
      <alignment horizontal="center"/>
    </xf>
    <xf numFmtId="0" fontId="1" fillId="0" borderId="2" xfId="1" applyBorder="1" applyAlignment="1">
      <alignment vertical="distributed"/>
    </xf>
    <xf numFmtId="0" fontId="1" fillId="0" borderId="3" xfId="1" applyFont="1" applyBorder="1" applyAlignment="1">
      <alignment horizontal="center"/>
    </xf>
    <xf numFmtId="0" fontId="1" fillId="0" borderId="3" xfId="1" applyFont="1" applyBorder="1"/>
    <xf numFmtId="0" fontId="3" fillId="0" borderId="3" xfId="1" applyFont="1" applyBorder="1" applyAlignment="1">
      <alignment wrapText="1"/>
    </xf>
    <xf numFmtId="0" fontId="3" fillId="0" borderId="4" xfId="1" applyFont="1" applyBorder="1" applyAlignment="1">
      <alignment wrapText="1"/>
    </xf>
    <xf numFmtId="0" fontId="3" fillId="0" borderId="2" xfId="1" applyFont="1" applyBorder="1" applyAlignment="1">
      <alignment wrapText="1"/>
    </xf>
    <xf numFmtId="0" fontId="1" fillId="0" borderId="2" xfId="1" applyBorder="1" applyAlignment="1">
      <alignment wrapText="1"/>
    </xf>
    <xf numFmtId="0" fontId="1" fillId="0" borderId="5" xfId="1" applyBorder="1" applyAlignment="1">
      <alignment vertical="distributed"/>
    </xf>
    <xf numFmtId="0" fontId="5" fillId="0" borderId="3" xfId="1" applyFont="1" applyBorder="1" applyAlignment="1">
      <alignment horizontal="center"/>
    </xf>
    <xf numFmtId="0" fontId="1" fillId="0" borderId="3" xfId="1" applyBorder="1" applyAlignment="1">
      <alignment wrapText="1"/>
    </xf>
    <xf numFmtId="0" fontId="1" fillId="0" borderId="6" xfId="1" applyBorder="1" applyAlignment="1">
      <alignment wrapText="1"/>
    </xf>
    <xf numFmtId="0" fontId="1" fillId="0" borderId="6" xfId="1" applyFont="1" applyBorder="1" applyAlignment="1">
      <alignment wrapText="1"/>
    </xf>
    <xf numFmtId="0" fontId="1" fillId="0" borderId="2" xfId="1" applyFont="1" applyBorder="1" applyAlignment="1">
      <alignment wrapText="1"/>
    </xf>
    <xf numFmtId="0" fontId="1" fillId="0" borderId="2" xfId="1" applyBorder="1"/>
    <xf numFmtId="0" fontId="1" fillId="0" borderId="5" xfId="1" applyBorder="1"/>
    <xf numFmtId="0" fontId="6" fillId="0" borderId="2" xfId="0" applyFont="1" applyBorder="1" applyAlignment="1">
      <alignment wrapText="1"/>
    </xf>
    <xf numFmtId="3" fontId="6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 wrapText="1"/>
    </xf>
    <xf numFmtId="2" fontId="6" fillId="0" borderId="7" xfId="0" applyNumberFormat="1" applyFont="1" applyBorder="1" applyAlignment="1">
      <alignment horizontal="center" wrapText="1"/>
    </xf>
    <xf numFmtId="2" fontId="6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3" fontId="6" fillId="2" borderId="2" xfId="0" applyNumberFormat="1" applyFont="1" applyFill="1" applyBorder="1" applyAlignment="1">
      <alignment horizontal="center" wrapText="1"/>
    </xf>
    <xf numFmtId="0" fontId="6" fillId="0" borderId="2" xfId="0" applyFont="1" applyBorder="1"/>
    <xf numFmtId="3" fontId="6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1" fillId="0" borderId="2" xfId="1" applyFont="1" applyBorder="1" applyAlignment="1">
      <alignment vertical="center" wrapText="1"/>
    </xf>
    <xf numFmtId="0" fontId="6" fillId="0" borderId="2" xfId="0" applyFont="1" applyBorder="1" applyAlignment="1">
      <alignment horizontal="center"/>
    </xf>
    <xf numFmtId="0" fontId="1" fillId="0" borderId="2" xfId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1" fillId="0" borderId="5" xfId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6" fillId="0" borderId="2" xfId="0" applyFont="1" applyBorder="1" applyAlignment="1">
      <alignment vertical="distributed" wrapText="1"/>
    </xf>
    <xf numFmtId="0" fontId="6" fillId="2" borderId="2" xfId="0" applyFont="1" applyFill="1" applyBorder="1" applyAlignment="1">
      <alignment horizontal="center"/>
    </xf>
    <xf numFmtId="1" fontId="1" fillId="0" borderId="2" xfId="1" applyNumberFormat="1" applyBorder="1"/>
    <xf numFmtId="2" fontId="1" fillId="0" borderId="5" xfId="1" applyNumberFormat="1" applyBorder="1"/>
    <xf numFmtId="2" fontId="1" fillId="0" borderId="2" xfId="1" applyNumberFormat="1" applyBorder="1"/>
    <xf numFmtId="2" fontId="1" fillId="0" borderId="0" xfId="1" applyNumberFormat="1"/>
    <xf numFmtId="0" fontId="1" fillId="0" borderId="0" xfId="1" applyBorder="1"/>
    <xf numFmtId="3" fontId="1" fillId="0" borderId="0" xfId="1" applyNumberFormat="1" applyBorder="1"/>
    <xf numFmtId="1" fontId="1" fillId="0" borderId="0" xfId="1" applyNumberFormat="1" applyBorder="1"/>
    <xf numFmtId="2" fontId="6" fillId="0" borderId="0" xfId="0" applyNumberFormat="1" applyFont="1" applyBorder="1" applyAlignment="1">
      <alignment horizontal="center" wrapText="1"/>
    </xf>
    <xf numFmtId="2" fontId="1" fillId="0" borderId="0" xfId="1" applyNumberFormat="1" applyBorder="1"/>
    <xf numFmtId="0" fontId="1" fillId="0" borderId="0" xfId="1" applyFont="1"/>
    <xf numFmtId="0" fontId="1" fillId="2" borderId="0" xfId="1" applyFill="1"/>
    <xf numFmtId="0" fontId="11" fillId="0" borderId="4" xfId="1" applyFont="1" applyBorder="1" applyAlignment="1">
      <alignment wrapText="1"/>
    </xf>
    <xf numFmtId="0" fontId="12" fillId="0" borderId="2" xfId="0" applyFont="1" applyBorder="1" applyAlignment="1">
      <alignment horizontal="center" wrapText="1"/>
    </xf>
    <xf numFmtId="3" fontId="12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vertical="top" wrapText="1"/>
    </xf>
    <xf numFmtId="3" fontId="12" fillId="0" borderId="2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wrapText="1"/>
    </xf>
    <xf numFmtId="3" fontId="12" fillId="0" borderId="2" xfId="0" applyNumberFormat="1" applyFont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0" fontId="1" fillId="0" borderId="0" xfId="1" applyFont="1" applyBorder="1" applyAlignment="1">
      <alignment wrapText="1"/>
    </xf>
    <xf numFmtId="0" fontId="12" fillId="0" borderId="0" xfId="0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" fillId="0" borderId="2" xfId="1" applyBorder="1" applyAlignment="1">
      <alignment vertical="center"/>
    </xf>
    <xf numFmtId="1" fontId="12" fillId="0" borderId="2" xfId="1" applyNumberFormat="1" applyFont="1" applyBorder="1"/>
    <xf numFmtId="0" fontId="1" fillId="3" borderId="2" xfId="1" applyFill="1" applyBorder="1"/>
    <xf numFmtId="0" fontId="1" fillId="3" borderId="2" xfId="1" applyFill="1" applyBorder="1" applyAlignment="1">
      <alignment vertical="center"/>
    </xf>
    <xf numFmtId="1" fontId="1" fillId="3" borderId="2" xfId="1" applyNumberFormat="1" applyFill="1" applyBorder="1"/>
    <xf numFmtId="0" fontId="4" fillId="3" borderId="2" xfId="1" applyFont="1" applyFill="1" applyBorder="1" applyAlignment="1">
      <alignment wrapText="1"/>
    </xf>
    <xf numFmtId="44" fontId="2" fillId="0" borderId="1" xfId="2" applyFont="1" applyBorder="1" applyAlignment="1">
      <alignment horizontal="center"/>
    </xf>
    <xf numFmtId="44" fontId="2" fillId="0" borderId="0" xfId="2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Fill="1" applyBorder="1" applyAlignment="1"/>
    <xf numFmtId="0" fontId="0" fillId="0" borderId="0" xfId="0" applyFill="1"/>
    <xf numFmtId="1" fontId="17" fillId="0" borderId="0" xfId="0" applyNumberFormat="1" applyFont="1" applyFill="1" applyBorder="1" applyAlignment="1">
      <alignment horizontal="left"/>
    </xf>
    <xf numFmtId="1" fontId="15" fillId="0" borderId="0" xfId="0" applyNumberFormat="1" applyFont="1" applyFill="1"/>
    <xf numFmtId="0" fontId="18" fillId="0" borderId="0" xfId="0" applyFont="1" applyFill="1" applyAlignment="1">
      <alignment horizontal="right"/>
    </xf>
    <xf numFmtId="0" fontId="19" fillId="0" borderId="0" xfId="0" applyFont="1" applyFill="1" applyBorder="1" applyAlignment="1"/>
    <xf numFmtId="0" fontId="18" fillId="2" borderId="0" xfId="0" applyFont="1" applyFill="1" applyBorder="1" applyAlignment="1">
      <alignment horizontal="right"/>
    </xf>
    <xf numFmtId="0" fontId="0" fillId="2" borderId="0" xfId="0" applyFill="1" applyBorder="1"/>
    <xf numFmtId="0" fontId="20" fillId="4" borderId="9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/>
    </xf>
    <xf numFmtId="0" fontId="21" fillId="4" borderId="15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wrapText="1"/>
    </xf>
    <xf numFmtId="0" fontId="18" fillId="4" borderId="2" xfId="0" applyFont="1" applyFill="1" applyBorder="1" applyAlignment="1">
      <alignment horizontal="center"/>
    </xf>
    <xf numFmtId="2" fontId="23" fillId="4" borderId="2" xfId="0" applyNumberFormat="1" applyFont="1" applyFill="1" applyBorder="1" applyAlignment="1">
      <alignment horizontal="center"/>
    </xf>
    <xf numFmtId="2" fontId="23" fillId="4" borderId="17" xfId="0" applyNumberFormat="1" applyFont="1" applyFill="1" applyBorder="1" applyAlignment="1">
      <alignment horizontal="center"/>
    </xf>
    <xf numFmtId="2" fontId="24" fillId="4" borderId="18" xfId="0" applyNumberFormat="1" applyFont="1" applyFill="1" applyBorder="1" applyAlignment="1">
      <alignment horizontal="center"/>
    </xf>
    <xf numFmtId="2" fontId="0" fillId="2" borderId="0" xfId="0" applyNumberFormat="1" applyFill="1" applyBorder="1"/>
    <xf numFmtId="164" fontId="0" fillId="2" borderId="0" xfId="3" applyFont="1" applyFill="1" applyBorder="1"/>
    <xf numFmtId="0" fontId="0" fillId="4" borderId="16" xfId="0" applyFill="1" applyBorder="1"/>
    <xf numFmtId="2" fontId="25" fillId="4" borderId="2" xfId="0" applyNumberFormat="1" applyFont="1" applyFill="1" applyBorder="1" applyAlignment="1">
      <alignment horizontal="center"/>
    </xf>
    <xf numFmtId="2" fontId="26" fillId="4" borderId="2" xfId="0" applyNumberFormat="1" applyFont="1" applyFill="1" applyBorder="1" applyAlignment="1">
      <alignment horizontal="center"/>
    </xf>
    <xf numFmtId="2" fontId="27" fillId="4" borderId="2" xfId="0" applyNumberFormat="1" applyFont="1" applyFill="1" applyBorder="1" applyAlignment="1">
      <alignment horizontal="center"/>
    </xf>
    <xf numFmtId="164" fontId="13" fillId="2" borderId="0" xfId="3" applyFill="1" applyBorder="1"/>
    <xf numFmtId="43" fontId="0" fillId="2" borderId="0" xfId="0" applyNumberFormat="1" applyFill="1" applyBorder="1"/>
    <xf numFmtId="2" fontId="27" fillId="4" borderId="2" xfId="3" applyNumberFormat="1" applyFont="1" applyFill="1" applyBorder="1" applyAlignment="1">
      <alignment horizontal="center"/>
    </xf>
    <xf numFmtId="0" fontId="0" fillId="4" borderId="19" xfId="0" applyFill="1" applyBorder="1"/>
    <xf numFmtId="2" fontId="23" fillId="4" borderId="3" xfId="0" applyNumberFormat="1" applyFont="1" applyFill="1" applyBorder="1" applyAlignment="1">
      <alignment horizontal="center"/>
    </xf>
    <xf numFmtId="0" fontId="20" fillId="4" borderId="20" xfId="0" applyFont="1" applyFill="1" applyBorder="1"/>
    <xf numFmtId="0" fontId="18" fillId="4" borderId="21" xfId="0" applyFont="1" applyFill="1" applyBorder="1" applyAlignment="1">
      <alignment horizontal="center"/>
    </xf>
    <xf numFmtId="2" fontId="14" fillId="4" borderId="21" xfId="3" applyNumberFormat="1" applyFont="1" applyFill="1" applyBorder="1" applyAlignment="1">
      <alignment horizontal="center"/>
    </xf>
    <xf numFmtId="164" fontId="5" fillId="4" borderId="21" xfId="3" applyFont="1" applyFill="1" applyBorder="1" applyAlignment="1">
      <alignment horizontal="center"/>
    </xf>
    <xf numFmtId="10" fontId="24" fillId="4" borderId="22" xfId="0" applyNumberFormat="1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8" fillId="4" borderId="0" xfId="0" applyFont="1" applyFill="1" applyBorder="1" applyAlignment="1">
      <alignment horizontal="left"/>
    </xf>
    <xf numFmtId="165" fontId="13" fillId="4" borderId="0" xfId="3" applyNumberFormat="1" applyFont="1" applyFill="1"/>
    <xf numFmtId="2" fontId="0" fillId="4" borderId="0" xfId="0" applyNumberFormat="1" applyFill="1"/>
    <xf numFmtId="0" fontId="0" fillId="4" borderId="0" xfId="0" applyFill="1"/>
    <xf numFmtId="0" fontId="28" fillId="4" borderId="5" xfId="0" applyFont="1" applyFill="1" applyBorder="1" applyAlignment="1">
      <alignment horizontal="left"/>
    </xf>
    <xf numFmtId="0" fontId="28" fillId="4" borderId="7" xfId="0" applyFont="1" applyFill="1" applyBorder="1"/>
    <xf numFmtId="2" fontId="29" fillId="4" borderId="7" xfId="3" applyNumberFormat="1" applyFont="1" applyFill="1" applyBorder="1" applyAlignment="1">
      <alignment horizontal="center"/>
    </xf>
    <xf numFmtId="2" fontId="29" fillId="4" borderId="8" xfId="3" applyNumberFormat="1" applyFont="1" applyFill="1" applyBorder="1" applyAlignment="1">
      <alignment horizontal="center"/>
    </xf>
    <xf numFmtId="2" fontId="17" fillId="4" borderId="7" xfId="3" applyNumberFormat="1" applyFont="1" applyFill="1" applyBorder="1" applyAlignment="1"/>
    <xf numFmtId="2" fontId="0" fillId="0" borderId="0" xfId="0" applyNumberFormat="1"/>
    <xf numFmtId="0" fontId="28" fillId="4" borderId="5" xfId="0" applyFont="1" applyFill="1" applyBorder="1"/>
    <xf numFmtId="0" fontId="0" fillId="4" borderId="7" xfId="0" applyFill="1" applyBorder="1"/>
    <xf numFmtId="166" fontId="28" fillId="4" borderId="8" xfId="3" applyNumberFormat="1" applyFont="1" applyFill="1" applyBorder="1" applyAlignment="1">
      <alignment horizontal="center"/>
    </xf>
    <xf numFmtId="0" fontId="2" fillId="4" borderId="5" xfId="0" applyFont="1" applyFill="1" applyBorder="1" applyAlignment="1"/>
    <xf numFmtId="0" fontId="2" fillId="4" borderId="7" xfId="0" applyFont="1" applyFill="1" applyBorder="1" applyAlignment="1"/>
    <xf numFmtId="0" fontId="2" fillId="4" borderId="8" xfId="0" applyFont="1" applyFill="1" applyBorder="1" applyAlignment="1"/>
    <xf numFmtId="0" fontId="0" fillId="4" borderId="2" xfId="0" applyFill="1" applyBorder="1"/>
    <xf numFmtId="166" fontId="0" fillId="4" borderId="2" xfId="0" applyNumberFormat="1" applyFill="1" applyBorder="1"/>
    <xf numFmtId="0" fontId="2" fillId="4" borderId="0" xfId="0" applyFont="1" applyFill="1"/>
    <xf numFmtId="0" fontId="2" fillId="4" borderId="0" xfId="0" applyFont="1" applyFill="1" applyAlignment="1"/>
    <xf numFmtId="0" fontId="30" fillId="4" borderId="0" xfId="0" applyFont="1" applyFill="1"/>
    <xf numFmtId="0" fontId="0" fillId="4" borderId="0" xfId="0" applyFill="1" applyAlignment="1">
      <alignment horizontal="right"/>
    </xf>
    <xf numFmtId="0" fontId="0" fillId="0" borderId="0" xfId="0" applyAlignment="1">
      <alignment wrapText="1"/>
    </xf>
    <xf numFmtId="2" fontId="0" fillId="5" borderId="0" xfId="0" applyNumberFormat="1" applyFill="1"/>
    <xf numFmtId="0" fontId="21" fillId="4" borderId="1" xfId="0" applyFont="1" applyFill="1" applyBorder="1" applyAlignment="1">
      <alignment horizontal="center" vertical="center" wrapText="1"/>
    </xf>
    <xf numFmtId="2" fontId="0" fillId="4" borderId="23" xfId="0" applyNumberFormat="1" applyFill="1" applyBorder="1"/>
    <xf numFmtId="2" fontId="16" fillId="4" borderId="24" xfId="0" applyNumberFormat="1" applyFont="1" applyFill="1" applyBorder="1"/>
    <xf numFmtId="0" fontId="0" fillId="2" borderId="13" xfId="0" applyFill="1" applyBorder="1" applyAlignment="1">
      <alignment wrapText="1"/>
    </xf>
    <xf numFmtId="2" fontId="0" fillId="2" borderId="25" xfId="0" applyNumberFormat="1" applyFill="1" applyBorder="1"/>
    <xf numFmtId="0" fontId="21" fillId="4" borderId="26" xfId="0" applyFont="1" applyFill="1" applyBorder="1" applyAlignment="1">
      <alignment horizontal="center" vertical="center"/>
    </xf>
    <xf numFmtId="2" fontId="0" fillId="0" borderId="27" xfId="0" applyNumberFormat="1" applyBorder="1"/>
  </cellXfs>
  <cellStyles count="4">
    <cellStyle name="Денежный_план 2011 мол" xfId="2"/>
    <cellStyle name="Обычный" xfId="0" builtinId="0"/>
    <cellStyle name="Обычный_план 2011 мол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\&#1052;&#1086;&#1080;%20&#1076;&#1086;&#1082;&#1091;&#1084;&#1077;&#1085;&#1090;&#1099;\Documents%20and%20Settings\1\&#1052;&#1086;&#1080;%20&#1076;&#1086;&#1082;&#1091;&#1084;&#1077;&#1085;&#1090;&#1099;\&#1076;&#1086;&#1084;&#1072;\&#1087;&#1088;&#1086;&#1084;&#1077;&#1078;%20&#1091;&#1082;\&#1087;&#1088;&#1086;&#1084;&#1077;&#1078;&#1091;&#1090;&#1086;&#1095;&#1085;&#1099;-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\&#1052;&#1086;&#1080;%20&#1076;&#1086;&#1082;&#1091;&#1084;&#1077;&#1085;&#1090;&#1099;\Documents%20and%20Settings\1\&#1052;&#1086;&#1080;%20&#1076;&#1086;&#1082;&#1091;&#1084;&#1077;&#1085;&#1090;&#1099;\&#1090;&#1077;&#1083;&#1077;&#1092;&#1086;&#1085;&#1085;&#1099;&#1081;%20&#1089;&#1087;&#1088;&#1072;&#1074;&#1086;&#1095;&#1085;&#108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\&#1052;&#1086;&#1080;%20&#1076;&#1086;&#1082;&#1091;&#1084;&#1077;&#1085;&#1090;&#1099;\Documents%20and%20Settings\1\&#1052;&#1086;&#1080;%20&#1076;&#1086;&#1082;&#1091;&#1084;&#1077;&#1085;&#1090;&#1099;\&#1076;&#1086;&#1084;&#1072;\&#1087;&#1088;&#1086;&#1084;&#1077;&#1078;%20&#1091;&#1082;\&#1087;&#1088;&#1086;&#1084;&#1077;&#1078;&#1091;&#1090;&#1086;&#1095;&#1085;&#1099;-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ислено"/>
      <sheetName val="оплата"/>
    </sheetNames>
    <sheetDataSet>
      <sheetData sheetId="0" refreshError="1">
        <row r="3">
          <cell r="F3">
            <v>2084.8000000000002</v>
          </cell>
          <cell r="G3">
            <v>1747.6</v>
          </cell>
          <cell r="H3">
            <v>1933.7</v>
          </cell>
          <cell r="L3">
            <v>1662.87</v>
          </cell>
          <cell r="M3">
            <v>2137.08</v>
          </cell>
          <cell r="N3">
            <v>2630.04</v>
          </cell>
          <cell r="Q3">
            <v>3220.47</v>
          </cell>
          <cell r="R3">
            <v>3221.34</v>
          </cell>
          <cell r="S3">
            <v>3640.83</v>
          </cell>
        </row>
        <row r="9">
          <cell r="F9">
            <v>18346.75</v>
          </cell>
          <cell r="G9">
            <v>15595.72</v>
          </cell>
          <cell r="H9">
            <v>15815.82</v>
          </cell>
          <cell r="L9">
            <v>16852.98</v>
          </cell>
          <cell r="M9">
            <v>19465.2</v>
          </cell>
          <cell r="N9">
            <v>21005.42</v>
          </cell>
          <cell r="Q9">
            <v>18887.12</v>
          </cell>
          <cell r="R9">
            <v>22068.68</v>
          </cell>
          <cell r="S9">
            <v>21134.95</v>
          </cell>
        </row>
        <row r="10">
          <cell r="F10">
            <v>8384.08</v>
          </cell>
          <cell r="G10">
            <v>6959.69</v>
          </cell>
          <cell r="H10">
            <v>8786.25</v>
          </cell>
          <cell r="L10">
            <v>9125.76</v>
          </cell>
          <cell r="M10">
            <v>11077.17</v>
          </cell>
          <cell r="N10">
            <v>11011.48</v>
          </cell>
          <cell r="Q10">
            <v>9624.5</v>
          </cell>
          <cell r="R10">
            <v>11241.05</v>
          </cell>
          <cell r="S10">
            <v>10735.94</v>
          </cell>
        </row>
        <row r="111">
          <cell r="F111">
            <v>41221.89</v>
          </cell>
          <cell r="G111">
            <v>35783.29</v>
          </cell>
          <cell r="H111">
            <v>28678.25</v>
          </cell>
          <cell r="L111">
            <v>33136.259999999995</v>
          </cell>
          <cell r="M111">
            <v>33089.56</v>
          </cell>
          <cell r="N111">
            <v>35082.76</v>
          </cell>
          <cell r="Q111">
            <v>41737.089999999997</v>
          </cell>
          <cell r="R111">
            <v>44622.84</v>
          </cell>
          <cell r="S111">
            <v>42874.239999999998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Фр.16-3"/>
      <sheetName val="2006"/>
      <sheetName val="2007"/>
      <sheetName val="2008"/>
      <sheetName val="2009"/>
      <sheetName val="2009 (2)"/>
      <sheetName val="2010"/>
      <sheetName val="2011"/>
      <sheetName val="2012"/>
      <sheetName val="2012УК"/>
      <sheetName val="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87">
          <cell r="C87">
            <v>11465.09</v>
          </cell>
          <cell r="F87">
            <v>21524.19</v>
          </cell>
          <cell r="I87">
            <v>41285.296692600001</v>
          </cell>
        </row>
        <row r="88">
          <cell r="C88">
            <v>6973.4000000000005</v>
          </cell>
          <cell r="F88">
            <v>15593.850499999997</v>
          </cell>
          <cell r="I88">
            <v>35846.412809200003</v>
          </cell>
        </row>
        <row r="89">
          <cell r="C89">
            <v>8798.7900000000009</v>
          </cell>
          <cell r="F89">
            <v>15832.329790000002</v>
          </cell>
          <cell r="I89">
            <v>36537.520000000004</v>
          </cell>
        </row>
        <row r="90">
          <cell r="C90">
            <v>9609.08</v>
          </cell>
          <cell r="F90">
            <v>17708.662479999995</v>
          </cell>
          <cell r="I90">
            <v>33200.610083200001</v>
          </cell>
        </row>
        <row r="91">
          <cell r="C91">
            <v>10956.96</v>
          </cell>
          <cell r="F91">
            <v>19095.911999999997</v>
          </cell>
          <cell r="I91">
            <v>24891.260878399993</v>
          </cell>
        </row>
        <row r="92">
          <cell r="C92">
            <v>11011.2</v>
          </cell>
          <cell r="F92">
            <v>21003.040000000001</v>
          </cell>
          <cell r="I92">
            <v>35081.188426000001</v>
          </cell>
        </row>
        <row r="93">
          <cell r="C93">
            <v>8786.02</v>
          </cell>
          <cell r="F93">
            <v>18833.599999999999</v>
          </cell>
          <cell r="I93">
            <v>47696.976682399996</v>
          </cell>
        </row>
        <row r="94">
          <cell r="C94">
            <v>11240.6</v>
          </cell>
          <cell r="F94">
            <v>22075.84</v>
          </cell>
          <cell r="I94">
            <v>44662.008800000003</v>
          </cell>
        </row>
        <row r="95">
          <cell r="C95">
            <v>10735.92</v>
          </cell>
          <cell r="F95">
            <v>21135.590399999997</v>
          </cell>
          <cell r="I95">
            <v>42872.762681400003</v>
          </cell>
        </row>
      </sheetData>
      <sheetData sheetId="11" refreshError="1">
        <row r="40">
          <cell r="B40">
            <v>16769.14</v>
          </cell>
        </row>
        <row r="41">
          <cell r="B41">
            <v>16769.14</v>
          </cell>
          <cell r="C41">
            <v>10254.18</v>
          </cell>
          <cell r="D41">
            <v>13557.54</v>
          </cell>
        </row>
        <row r="45">
          <cell r="B45">
            <v>26564.912</v>
          </cell>
          <cell r="C45">
            <v>21227.135999999999</v>
          </cell>
          <cell r="D45">
            <v>23949.664000000001</v>
          </cell>
        </row>
        <row r="49">
          <cell r="B49">
            <v>39265.690856000001</v>
          </cell>
          <cell r="C49">
            <v>45419.9312842</v>
          </cell>
          <cell r="D49">
            <v>42370.315082399997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ислено"/>
      <sheetName val="оплата"/>
    </sheetNames>
    <sheetDataSet>
      <sheetData sheetId="0" refreshError="1">
        <row r="3">
          <cell r="B3">
            <v>3854.25</v>
          </cell>
          <cell r="C3">
            <v>3293.22</v>
          </cell>
          <cell r="D3">
            <v>3150.27</v>
          </cell>
        </row>
        <row r="9">
          <cell r="B9">
            <v>26564.9</v>
          </cell>
          <cell r="C9">
            <v>21227.08</v>
          </cell>
          <cell r="D9">
            <v>23950.38</v>
          </cell>
        </row>
        <row r="10">
          <cell r="B10">
            <v>16769.490000000002</v>
          </cell>
          <cell r="C10">
            <v>10254.56</v>
          </cell>
          <cell r="D10">
            <v>13558.01</v>
          </cell>
        </row>
        <row r="110">
          <cell r="B110">
            <v>39373.089999999997</v>
          </cell>
          <cell r="C110">
            <v>45421.95</v>
          </cell>
          <cell r="D110">
            <v>42372.27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WhiteSpace="0" view="pageLayout" topLeftCell="B1" zoomScaleNormal="100" workbookViewId="0">
      <selection activeCell="B33" sqref="B33"/>
    </sheetView>
  </sheetViews>
  <sheetFormatPr defaultRowHeight="12.75" x14ac:dyDescent="0.2"/>
  <cols>
    <col min="1" max="1" width="4.5703125" style="1" hidden="1" customWidth="1"/>
    <col min="2" max="2" width="51.5703125" style="1" customWidth="1"/>
    <col min="3" max="3" width="16.28515625" style="1" hidden="1" customWidth="1"/>
    <col min="4" max="4" width="8.42578125" style="1" customWidth="1"/>
    <col min="5" max="6" width="7.42578125" style="1" customWidth="1"/>
    <col min="7" max="7" width="6.140625" style="1" customWidth="1"/>
    <col min="8" max="8" width="20.140625" style="1" customWidth="1"/>
    <col min="9" max="10" width="9.140625" style="1"/>
    <col min="11" max="11" width="12.42578125" style="1" customWidth="1"/>
    <col min="12" max="16384" width="9.140625" style="1"/>
  </cols>
  <sheetData>
    <row r="1" spans="1:8" ht="15" x14ac:dyDescent="0.2">
      <c r="B1" s="2"/>
      <c r="C1" s="2"/>
      <c r="D1" s="3" t="s">
        <v>0</v>
      </c>
      <c r="E1" s="3"/>
      <c r="F1" s="2"/>
      <c r="G1" s="2"/>
      <c r="H1" s="2"/>
    </row>
    <row r="2" spans="1:8" ht="15" x14ac:dyDescent="0.2">
      <c r="D2" s="72" t="s">
        <v>1</v>
      </c>
      <c r="E2" s="72"/>
    </row>
    <row r="3" spans="1:8" ht="67.5" x14ac:dyDescent="0.2">
      <c r="A3" s="4" t="s">
        <v>2</v>
      </c>
      <c r="B3" s="5" t="s">
        <v>3</v>
      </c>
      <c r="C3" s="6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10" t="s">
        <v>4</v>
      </c>
    </row>
    <row r="4" spans="1:8" x14ac:dyDescent="0.2">
      <c r="A4" s="11"/>
      <c r="B4" s="12" t="s">
        <v>9</v>
      </c>
      <c r="C4" s="6"/>
      <c r="D4" s="13"/>
      <c r="E4" s="14"/>
      <c r="F4" s="15"/>
      <c r="G4" s="16"/>
      <c r="H4" s="17"/>
    </row>
    <row r="5" spans="1:8" ht="14.25" customHeight="1" x14ac:dyDescent="0.2">
      <c r="A5" s="18">
        <v>6</v>
      </c>
      <c r="B5" s="19" t="s">
        <v>10</v>
      </c>
      <c r="C5" s="16"/>
      <c r="D5" s="20">
        <v>85120</v>
      </c>
      <c r="E5" s="21">
        <f>D5/12</f>
        <v>7093.333333333333</v>
      </c>
      <c r="F5" s="22">
        <f t="shared" ref="F5:F6" si="0">D5/12/5968.42</f>
        <v>1.188477575863182</v>
      </c>
      <c r="G5" s="23" t="s">
        <v>11</v>
      </c>
      <c r="H5" s="17" t="s">
        <v>12</v>
      </c>
    </row>
    <row r="6" spans="1:8" ht="14.25" customHeight="1" x14ac:dyDescent="0.2">
      <c r="A6" s="18"/>
      <c r="B6" s="24" t="s">
        <v>13</v>
      </c>
      <c r="C6" s="16"/>
      <c r="D6" s="20">
        <f>102940-D5</f>
        <v>17820</v>
      </c>
      <c r="E6" s="21">
        <f t="shared" ref="E6:E31" si="1">D6/12</f>
        <v>1485</v>
      </c>
      <c r="F6" s="22">
        <f t="shared" si="0"/>
        <v>0.24880956769128176</v>
      </c>
      <c r="G6" s="23" t="s">
        <v>14</v>
      </c>
      <c r="H6" s="17"/>
    </row>
    <row r="7" spans="1:8" x14ac:dyDescent="0.2">
      <c r="A7" s="18"/>
      <c r="B7" s="25" t="s">
        <v>15</v>
      </c>
      <c r="C7" s="16"/>
      <c r="D7" s="26"/>
      <c r="E7" s="21"/>
      <c r="F7" s="22"/>
      <c r="G7" s="23"/>
      <c r="H7" s="17"/>
    </row>
    <row r="8" spans="1:8" x14ac:dyDescent="0.2">
      <c r="A8" s="18">
        <v>8</v>
      </c>
      <c r="B8" s="19" t="s">
        <v>14</v>
      </c>
      <c r="C8" s="16" t="s">
        <v>16</v>
      </c>
      <c r="D8" s="20">
        <v>6200</v>
      </c>
      <c r="E8" s="21">
        <f t="shared" si="1"/>
        <v>516.66666666666663</v>
      </c>
      <c r="F8" s="22">
        <f>D8/12/5968.42</f>
        <v>8.6566740723117111E-2</v>
      </c>
      <c r="G8" s="23" t="s">
        <v>14</v>
      </c>
      <c r="H8" s="17"/>
    </row>
    <row r="9" spans="1:8" x14ac:dyDescent="0.2">
      <c r="A9" s="18"/>
      <c r="B9" s="25" t="s">
        <v>17</v>
      </c>
      <c r="C9" s="16"/>
      <c r="D9" s="26"/>
      <c r="E9" s="21"/>
      <c r="F9" s="22"/>
      <c r="G9" s="23"/>
      <c r="H9" s="17"/>
    </row>
    <row r="10" spans="1:8" ht="25.5" x14ac:dyDescent="0.2">
      <c r="A10" s="18">
        <v>12</v>
      </c>
      <c r="B10" s="19" t="s">
        <v>18</v>
      </c>
      <c r="C10" s="16" t="s">
        <v>19</v>
      </c>
      <c r="D10" s="27">
        <v>150000</v>
      </c>
      <c r="E10" s="21">
        <f t="shared" ref="E10:E11" si="2">D10/12</f>
        <v>12500</v>
      </c>
      <c r="F10" s="22">
        <f t="shared" ref="F10:F11" si="3">D10/12/5968.42</f>
        <v>2.0943566303979946</v>
      </c>
      <c r="G10" s="23" t="s">
        <v>11</v>
      </c>
      <c r="H10" s="17" t="s">
        <v>20</v>
      </c>
    </row>
    <row r="11" spans="1:8" x14ac:dyDescent="0.2">
      <c r="A11" s="18">
        <v>13</v>
      </c>
      <c r="B11" s="19" t="s">
        <v>21</v>
      </c>
      <c r="C11" s="16" t="s">
        <v>19</v>
      </c>
      <c r="E11" s="21">
        <f t="shared" si="2"/>
        <v>0</v>
      </c>
      <c r="F11" s="22">
        <f t="shared" si="3"/>
        <v>0</v>
      </c>
      <c r="G11" s="23" t="s">
        <v>11</v>
      </c>
      <c r="H11" s="17" t="s">
        <v>20</v>
      </c>
    </row>
    <row r="12" spans="1:8" x14ac:dyDescent="0.2">
      <c r="A12" s="18">
        <v>14</v>
      </c>
      <c r="B12" s="19" t="s">
        <v>22</v>
      </c>
      <c r="C12" s="16" t="s">
        <v>20</v>
      </c>
      <c r="D12" s="26">
        <v>15000</v>
      </c>
      <c r="E12" s="21">
        <f t="shared" si="1"/>
        <v>1250</v>
      </c>
      <c r="F12" s="22">
        <f>D12/12/5968.42</f>
        <v>0.20943566303979946</v>
      </c>
      <c r="G12" s="23" t="s">
        <v>11</v>
      </c>
      <c r="H12" s="17" t="s">
        <v>20</v>
      </c>
    </row>
    <row r="13" spans="1:8" x14ac:dyDescent="0.2">
      <c r="A13" s="18">
        <v>20</v>
      </c>
      <c r="B13" s="28" t="s">
        <v>23</v>
      </c>
      <c r="C13" s="16" t="s">
        <v>24</v>
      </c>
      <c r="D13" s="29">
        <v>40000</v>
      </c>
      <c r="E13" s="21">
        <f t="shared" si="1"/>
        <v>3333.3333333333335</v>
      </c>
      <c r="F13" s="22">
        <f>D13/12/5968.42</f>
        <v>0.55849510143946535</v>
      </c>
      <c r="G13" s="23" t="s">
        <v>11</v>
      </c>
      <c r="H13" s="17" t="s">
        <v>20</v>
      </c>
    </row>
    <row r="14" spans="1:8" x14ac:dyDescent="0.2">
      <c r="A14" s="18">
        <v>21</v>
      </c>
      <c r="B14" s="19" t="s">
        <v>14</v>
      </c>
      <c r="C14" s="16" t="s">
        <v>25</v>
      </c>
      <c r="D14" s="29">
        <f>228450-D10-D12-D13</f>
        <v>23450</v>
      </c>
      <c r="E14" s="21">
        <f t="shared" si="1"/>
        <v>1954.1666666666667</v>
      </c>
      <c r="F14" s="22">
        <f t="shared" ref="F14" si="4">D14/12/5968.42</f>
        <v>0.32741775321888655</v>
      </c>
      <c r="G14" s="23" t="s">
        <v>14</v>
      </c>
      <c r="H14" s="17"/>
    </row>
    <row r="15" spans="1:8" x14ac:dyDescent="0.2">
      <c r="A15" s="18"/>
      <c r="B15" s="30" t="s">
        <v>26</v>
      </c>
      <c r="C15" s="16"/>
      <c r="D15" s="26"/>
      <c r="E15" s="21"/>
      <c r="F15" s="22"/>
      <c r="G15" s="23"/>
      <c r="H15" s="17"/>
    </row>
    <row r="16" spans="1:8" ht="12" customHeight="1" x14ac:dyDescent="0.2">
      <c r="A16" s="18">
        <v>23</v>
      </c>
      <c r="B16" s="28" t="s">
        <v>27</v>
      </c>
      <c r="C16" s="16"/>
      <c r="D16" s="26">
        <f>7075*12</f>
        <v>84900</v>
      </c>
      <c r="E16" s="21">
        <f t="shared" ref="E16:E17" si="5">D16/12</f>
        <v>7075</v>
      </c>
      <c r="F16" s="22">
        <f>D16/12/5968.42</f>
        <v>1.1854058528052651</v>
      </c>
      <c r="G16" s="23" t="s">
        <v>14</v>
      </c>
      <c r="H16" s="17"/>
    </row>
    <row r="17" spans="1:11" ht="12" customHeight="1" x14ac:dyDescent="0.2">
      <c r="A17" s="18"/>
      <c r="B17" s="19" t="s">
        <v>28</v>
      </c>
      <c r="C17" s="16" t="s">
        <v>29</v>
      </c>
      <c r="D17" s="26">
        <f>7075*12</f>
        <v>84900</v>
      </c>
      <c r="E17" s="21">
        <f t="shared" si="5"/>
        <v>7075</v>
      </c>
      <c r="F17" s="22">
        <f>D17/12/5968.42</f>
        <v>1.1854058528052651</v>
      </c>
      <c r="G17" s="23" t="s">
        <v>14</v>
      </c>
      <c r="H17" s="17"/>
    </row>
    <row r="18" spans="1:11" ht="12" customHeight="1" x14ac:dyDescent="0.2">
      <c r="A18" s="18"/>
      <c r="B18" s="28" t="s">
        <v>30</v>
      </c>
      <c r="C18" s="16"/>
      <c r="D18" s="26">
        <f>172300-D16-D17</f>
        <v>2500</v>
      </c>
      <c r="E18" s="21"/>
      <c r="F18" s="23"/>
      <c r="G18" s="23" t="s">
        <v>14</v>
      </c>
      <c r="H18" s="17"/>
    </row>
    <row r="19" spans="1:11" ht="12" customHeight="1" x14ac:dyDescent="0.2">
      <c r="A19" s="18">
        <v>27</v>
      </c>
      <c r="B19" s="30" t="s">
        <v>31</v>
      </c>
      <c r="C19" s="31"/>
      <c r="D19" s="17"/>
      <c r="E19" s="21"/>
      <c r="F19" s="17"/>
      <c r="G19" s="17"/>
      <c r="H19" s="17"/>
    </row>
    <row r="20" spans="1:11" ht="12" customHeight="1" x14ac:dyDescent="0.2">
      <c r="A20" s="18">
        <v>29</v>
      </c>
      <c r="B20" s="19" t="s">
        <v>32</v>
      </c>
      <c r="C20" s="16"/>
      <c r="D20" s="32">
        <v>40000</v>
      </c>
      <c r="E20" s="21">
        <f t="shared" si="1"/>
        <v>3333.3333333333335</v>
      </c>
      <c r="F20" s="22">
        <f t="shared" ref="F20:F26" si="6">D20/12/5968.42</f>
        <v>0.55849510143946535</v>
      </c>
      <c r="G20" s="23" t="s">
        <v>11</v>
      </c>
      <c r="H20" s="17" t="s">
        <v>20</v>
      </c>
    </row>
    <row r="21" spans="1:11" ht="14.25" customHeight="1" x14ac:dyDescent="0.2">
      <c r="A21" s="18">
        <v>30</v>
      </c>
      <c r="B21" s="19" t="s">
        <v>33</v>
      </c>
      <c r="C21" s="16" t="s">
        <v>29</v>
      </c>
      <c r="D21" s="33">
        <f>1000+60480</f>
        <v>61480</v>
      </c>
      <c r="E21" s="21">
        <f t="shared" si="1"/>
        <v>5123.333333333333</v>
      </c>
      <c r="F21" s="22">
        <f t="shared" si="6"/>
        <v>0.8584069709124581</v>
      </c>
      <c r="G21" s="23" t="s">
        <v>14</v>
      </c>
      <c r="H21" s="17" t="s">
        <v>25</v>
      </c>
    </row>
    <row r="22" spans="1:11" ht="12.95" customHeight="1" x14ac:dyDescent="0.2">
      <c r="A22" s="18">
        <v>31</v>
      </c>
      <c r="B22" s="19" t="s">
        <v>34</v>
      </c>
      <c r="C22" s="16" t="s">
        <v>29</v>
      </c>
      <c r="D22" s="34">
        <f>0.81*12*5968.42</f>
        <v>58013.042400000006</v>
      </c>
      <c r="E22" s="21">
        <f t="shared" si="1"/>
        <v>4834.4202000000005</v>
      </c>
      <c r="F22" s="22">
        <f t="shared" si="6"/>
        <v>0.81</v>
      </c>
      <c r="G22" s="23" t="s">
        <v>14</v>
      </c>
      <c r="H22" s="17" t="s">
        <v>35</v>
      </c>
    </row>
    <row r="23" spans="1:11" s="40" customFormat="1" ht="12.95" customHeight="1" x14ac:dyDescent="0.2">
      <c r="A23" s="35">
        <v>32</v>
      </c>
      <c r="B23" s="36" t="s">
        <v>36</v>
      </c>
      <c r="C23" s="31" t="s">
        <v>37</v>
      </c>
      <c r="D23" s="37">
        <v>40000</v>
      </c>
      <c r="E23" s="21">
        <f t="shared" si="1"/>
        <v>3333.3333333333335</v>
      </c>
      <c r="F23" s="38">
        <f t="shared" si="6"/>
        <v>0.55849510143946535</v>
      </c>
      <c r="G23" s="39" t="s">
        <v>14</v>
      </c>
      <c r="H23" s="17" t="s">
        <v>37</v>
      </c>
    </row>
    <row r="24" spans="1:11" ht="12.95" customHeight="1" x14ac:dyDescent="0.2">
      <c r="A24" s="18">
        <v>33</v>
      </c>
      <c r="B24" s="41" t="s">
        <v>38</v>
      </c>
      <c r="C24" s="16" t="s">
        <v>29</v>
      </c>
      <c r="D24" s="34">
        <f>1.57*5968.42*12</f>
        <v>112445.03280000002</v>
      </c>
      <c r="E24" s="21">
        <f t="shared" si="1"/>
        <v>9370.4194000000007</v>
      </c>
      <c r="F24" s="22">
        <f t="shared" si="6"/>
        <v>1.57</v>
      </c>
      <c r="G24" s="23" t="s">
        <v>14</v>
      </c>
      <c r="H24" s="17"/>
    </row>
    <row r="25" spans="1:11" ht="12.95" customHeight="1" x14ac:dyDescent="0.2">
      <c r="A25" s="18">
        <v>34</v>
      </c>
      <c r="B25" s="41" t="s">
        <v>39</v>
      </c>
      <c r="C25" s="16" t="s">
        <v>37</v>
      </c>
      <c r="D25" s="42">
        <v>20000</v>
      </c>
      <c r="E25" s="21">
        <f t="shared" si="1"/>
        <v>1666.6666666666667</v>
      </c>
      <c r="F25" s="22">
        <f t="shared" si="6"/>
        <v>0.27924755071973267</v>
      </c>
      <c r="G25" s="23" t="s">
        <v>14</v>
      </c>
      <c r="H25" s="17"/>
    </row>
    <row r="26" spans="1:11" ht="12.95" customHeight="1" x14ac:dyDescent="0.2">
      <c r="A26" s="18">
        <v>35</v>
      </c>
      <c r="B26" s="41" t="s">
        <v>40</v>
      </c>
      <c r="C26" s="16" t="s">
        <v>37</v>
      </c>
      <c r="D26" s="32">
        <f>(11.05+9)*12*130</f>
        <v>31278.000000000004</v>
      </c>
      <c r="E26" s="21">
        <f t="shared" si="1"/>
        <v>2606.5000000000005</v>
      </c>
      <c r="F26" s="22">
        <f t="shared" si="6"/>
        <v>0.43671524457058997</v>
      </c>
      <c r="G26" s="23" t="s">
        <v>14</v>
      </c>
      <c r="H26" s="17"/>
    </row>
    <row r="27" spans="1:11" ht="12.95" customHeight="1" x14ac:dyDescent="0.2">
      <c r="A27" s="18">
        <v>36</v>
      </c>
      <c r="B27" s="41" t="s">
        <v>41</v>
      </c>
      <c r="C27" s="16" t="s">
        <v>37</v>
      </c>
      <c r="D27" s="32">
        <f>850*12</f>
        <v>10200</v>
      </c>
      <c r="E27" s="21">
        <f t="shared" si="1"/>
        <v>850</v>
      </c>
      <c r="F27" s="22">
        <f>D27/12/5968.42</f>
        <v>0.14241625086706364</v>
      </c>
      <c r="G27" s="23" t="s">
        <v>14</v>
      </c>
      <c r="H27" s="17"/>
    </row>
    <row r="28" spans="1:11" ht="12.95" customHeight="1" x14ac:dyDescent="0.2">
      <c r="A28" s="18">
        <v>37</v>
      </c>
      <c r="B28" s="41" t="s">
        <v>42</v>
      </c>
      <c r="C28" s="16" t="s">
        <v>37</v>
      </c>
      <c r="D28" s="32">
        <f>3000*12</f>
        <v>36000</v>
      </c>
      <c r="E28" s="21">
        <f t="shared" si="1"/>
        <v>3000</v>
      </c>
      <c r="F28" s="22">
        <f>D28/12/5968.42</f>
        <v>0.50264559129551878</v>
      </c>
      <c r="G28" s="23" t="s">
        <v>14</v>
      </c>
      <c r="H28" s="17"/>
      <c r="K28" s="53"/>
    </row>
    <row r="29" spans="1:11" ht="12.95" customHeight="1" x14ac:dyDescent="0.2">
      <c r="A29" s="18">
        <v>38</v>
      </c>
      <c r="B29" s="41" t="s">
        <v>43</v>
      </c>
      <c r="C29" s="16" t="s">
        <v>37</v>
      </c>
      <c r="D29" s="32">
        <f>1500*12</f>
        <v>18000</v>
      </c>
      <c r="E29" s="21">
        <f t="shared" si="1"/>
        <v>1500</v>
      </c>
      <c r="F29" s="22">
        <f>D29/12/5968.42</f>
        <v>0.25132279564775939</v>
      </c>
      <c r="G29" s="23" t="s">
        <v>14</v>
      </c>
      <c r="H29" s="17"/>
    </row>
    <row r="30" spans="1:11" ht="12.95" customHeight="1" x14ac:dyDescent="0.2">
      <c r="A30" s="18">
        <v>39</v>
      </c>
      <c r="B30" s="41" t="s">
        <v>44</v>
      </c>
      <c r="C30" s="16"/>
      <c r="D30" s="32">
        <f>-101600</f>
        <v>-101600</v>
      </c>
      <c r="E30" s="21"/>
      <c r="F30" s="22"/>
      <c r="G30" s="23"/>
      <c r="H30" s="17"/>
    </row>
    <row r="31" spans="1:11" x14ac:dyDescent="0.2">
      <c r="A31" s="17">
        <v>40</v>
      </c>
      <c r="B31" s="17" t="s">
        <v>45</v>
      </c>
      <c r="C31" s="17"/>
      <c r="D31" s="43">
        <v>830706</v>
      </c>
      <c r="E31" s="21">
        <f t="shared" si="1"/>
        <v>69225.5</v>
      </c>
      <c r="F31" s="44">
        <f>D31/12/5968.42</f>
        <v>11.598630793409312</v>
      </c>
      <c r="G31" s="45"/>
      <c r="H31" s="45"/>
      <c r="J31" s="46"/>
    </row>
    <row r="33" spans="2:9" x14ac:dyDescent="0.2">
      <c r="B33" s="47"/>
      <c r="C33" s="47"/>
      <c r="D33" s="48"/>
      <c r="E33" s="49"/>
      <c r="F33" s="50"/>
      <c r="G33" s="50"/>
      <c r="H33" s="51"/>
      <c r="I33" s="46"/>
    </row>
    <row r="34" spans="2:9" x14ac:dyDescent="0.2">
      <c r="B34" s="52"/>
      <c r="H34" s="46"/>
    </row>
    <row r="35" spans="2:9" x14ac:dyDescent="0.2">
      <c r="B35" s="47"/>
      <c r="C35" s="47"/>
      <c r="D35" s="47"/>
      <c r="E35" s="47"/>
      <c r="F35" s="47"/>
      <c r="G35" s="47"/>
    </row>
    <row r="36" spans="2:9" x14ac:dyDescent="0.2">
      <c r="B36" s="47"/>
      <c r="C36" s="47"/>
      <c r="D36" s="47"/>
      <c r="E36" s="47"/>
      <c r="F36" s="47"/>
      <c r="G36" s="47"/>
    </row>
    <row r="37" spans="2:9" x14ac:dyDescent="0.2">
      <c r="B37" s="47"/>
      <c r="C37" s="47"/>
      <c r="D37" s="47"/>
      <c r="E37" s="47"/>
      <c r="F37" s="47"/>
      <c r="G37" s="47"/>
    </row>
    <row r="38" spans="2:9" x14ac:dyDescent="0.2">
      <c r="B38" s="47"/>
      <c r="C38" s="47"/>
      <c r="D38" s="47"/>
      <c r="E38" s="47"/>
      <c r="F38" s="47"/>
      <c r="G38" s="51"/>
    </row>
    <row r="39" spans="2:9" x14ac:dyDescent="0.2">
      <c r="B39" s="47"/>
      <c r="C39" s="47"/>
      <c r="D39" s="47"/>
      <c r="E39" s="47"/>
      <c r="F39" s="47"/>
      <c r="G39" s="47"/>
    </row>
    <row r="40" spans="2:9" x14ac:dyDescent="0.2">
      <c r="B40" s="47"/>
      <c r="C40" s="47"/>
      <c r="D40" s="47"/>
      <c r="E40" s="47"/>
      <c r="F40" s="47"/>
      <c r="G40" s="47"/>
    </row>
  </sheetData>
  <mergeCells count="1">
    <mergeCell ref="D2:E2"/>
  </mergeCells>
  <pageMargins left="0.14583333333333334" right="4.1666666666666664E-2" top="0.36" bottom="0.6" header="0.23" footer="0.2800000000000000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0"/>
  <sheetViews>
    <sheetView view="pageLayout" zoomScaleNormal="100" workbookViewId="0">
      <selection activeCell="G13" sqref="G13"/>
    </sheetView>
  </sheetViews>
  <sheetFormatPr defaultRowHeight="12.75" x14ac:dyDescent="0.2"/>
  <cols>
    <col min="1" max="1" width="5.28515625" style="1" customWidth="1"/>
    <col min="2" max="2" width="55.85546875" style="1" customWidth="1"/>
    <col min="3" max="3" width="16.28515625" style="1" hidden="1" customWidth="1"/>
    <col min="4" max="4" width="10.42578125" style="1" customWidth="1"/>
    <col min="5" max="5" width="10.140625" style="1" customWidth="1"/>
    <col min="6" max="16384" width="9.140625" style="1"/>
  </cols>
  <sheetData>
    <row r="1" spans="1:7" ht="15" x14ac:dyDescent="0.2">
      <c r="B1" s="73" t="s">
        <v>46</v>
      </c>
      <c r="C1" s="73"/>
    </row>
    <row r="2" spans="1:7" ht="15" x14ac:dyDescent="0.2">
      <c r="B2" s="72" t="s">
        <v>47</v>
      </c>
      <c r="C2" s="72"/>
    </row>
    <row r="3" spans="1:7" ht="45" x14ac:dyDescent="0.2">
      <c r="A3" s="4" t="s">
        <v>2</v>
      </c>
      <c r="B3" s="5" t="s">
        <v>3</v>
      </c>
      <c r="C3" s="6" t="s">
        <v>4</v>
      </c>
      <c r="D3" s="7" t="s">
        <v>48</v>
      </c>
      <c r="E3" s="54" t="s">
        <v>7</v>
      </c>
      <c r="F3" s="71" t="s">
        <v>49</v>
      </c>
      <c r="G3" s="9" t="s">
        <v>50</v>
      </c>
    </row>
    <row r="4" spans="1:7" x14ac:dyDescent="0.2">
      <c r="A4" s="11"/>
      <c r="B4" s="12" t="s">
        <v>9</v>
      </c>
      <c r="C4" s="6"/>
      <c r="D4" s="13"/>
      <c r="E4" s="15"/>
      <c r="F4" s="68"/>
      <c r="G4" s="17"/>
    </row>
    <row r="5" spans="1:7" ht="25.5" x14ac:dyDescent="0.2">
      <c r="A5" s="18">
        <v>1</v>
      </c>
      <c r="B5" s="19" t="s">
        <v>51</v>
      </c>
      <c r="C5" s="16" t="s">
        <v>52</v>
      </c>
      <c r="D5" s="55">
        <v>0</v>
      </c>
      <c r="E5" s="22">
        <f>D5/12/5968.42</f>
        <v>0</v>
      </c>
      <c r="F5" s="68">
        <v>129.82</v>
      </c>
      <c r="G5" s="17" t="s">
        <v>53</v>
      </c>
    </row>
    <row r="6" spans="1:7" ht="14.25" x14ac:dyDescent="0.2">
      <c r="A6" s="18">
        <v>2</v>
      </c>
      <c r="B6" s="28" t="s">
        <v>54</v>
      </c>
      <c r="C6" s="16" t="s">
        <v>55</v>
      </c>
      <c r="D6" s="55">
        <f>40000+6000</f>
        <v>46000</v>
      </c>
      <c r="E6" s="22">
        <f>D6/12/5968.42</f>
        <v>0.64226936665538503</v>
      </c>
      <c r="F6" s="68">
        <f>24894+27538.49</f>
        <v>52432.490000000005</v>
      </c>
      <c r="G6" s="17"/>
    </row>
    <row r="7" spans="1:7" ht="25.5" x14ac:dyDescent="0.2">
      <c r="A7" s="18">
        <v>3</v>
      </c>
      <c r="B7" s="19" t="s">
        <v>56</v>
      </c>
      <c r="C7" s="16" t="s">
        <v>52</v>
      </c>
      <c r="D7" s="56"/>
      <c r="E7" s="22">
        <f>D7/12/5968.42</f>
        <v>0</v>
      </c>
      <c r="F7" s="68">
        <v>0</v>
      </c>
      <c r="G7" s="17" t="s">
        <v>53</v>
      </c>
    </row>
    <row r="8" spans="1:7" ht="14.25" x14ac:dyDescent="0.2">
      <c r="A8" s="18">
        <v>4</v>
      </c>
      <c r="B8" s="19" t="s">
        <v>57</v>
      </c>
      <c r="C8" s="16" t="s">
        <v>58</v>
      </c>
      <c r="D8" s="56"/>
      <c r="E8" s="22">
        <f>D8/12/5968.42</f>
        <v>0</v>
      </c>
      <c r="F8" s="68">
        <v>0</v>
      </c>
      <c r="G8" s="17" t="s">
        <v>53</v>
      </c>
    </row>
    <row r="9" spans="1:7" ht="25.5" x14ac:dyDescent="0.2">
      <c r="A9" s="18">
        <v>5</v>
      </c>
      <c r="B9" s="19" t="s">
        <v>59</v>
      </c>
      <c r="C9" s="16" t="s">
        <v>37</v>
      </c>
      <c r="D9" s="56">
        <v>4000</v>
      </c>
      <c r="E9" s="22">
        <f>D9/12/5968.42</f>
        <v>5.5849510143946526E-2</v>
      </c>
      <c r="F9" s="68">
        <f>195.78</f>
        <v>195.78</v>
      </c>
      <c r="G9" s="17" t="s">
        <v>53</v>
      </c>
    </row>
    <row r="10" spans="1:7" ht="14.25" x14ac:dyDescent="0.2">
      <c r="A10" s="18">
        <v>6</v>
      </c>
      <c r="B10" s="19" t="s">
        <v>60</v>
      </c>
      <c r="C10" s="16"/>
      <c r="D10" s="56"/>
      <c r="E10" s="22"/>
      <c r="F10" s="68"/>
      <c r="G10" s="17"/>
    </row>
    <row r="11" spans="1:7" ht="14.25" x14ac:dyDescent="0.2">
      <c r="A11" s="18"/>
      <c r="B11" s="57" t="s">
        <v>61</v>
      </c>
      <c r="C11" s="31"/>
      <c r="D11" s="58">
        <f>5000</f>
        <v>5000</v>
      </c>
      <c r="E11" s="38">
        <f>D11/12/5968.42</f>
        <v>6.9811887679933168E-2</v>
      </c>
      <c r="F11" s="68">
        <f>39.5+51.62+9.5+15.25+23.44+18.76+7410+440+750+46+28+160+8+16+20+342+110+96+16+22+16+8+74+250+30+116+98+35+50+624+263+4+292+12+118+168+16+6+54+199+24+78+122+235+8+10+24+16+570+60+414+155+124+87+46+26+174+24+178+96+132+26+488+150+16+8+20+11.5+20+20+168</f>
        <v>15585.57</v>
      </c>
      <c r="G11" s="17"/>
    </row>
    <row r="12" spans="1:7" ht="14.25" x14ac:dyDescent="0.2">
      <c r="A12" s="18"/>
      <c r="B12" s="30" t="s">
        <v>15</v>
      </c>
      <c r="C12" s="16"/>
      <c r="D12" s="55"/>
      <c r="E12" s="22"/>
      <c r="F12" s="68"/>
      <c r="G12" s="17"/>
    </row>
    <row r="13" spans="1:7" ht="14.25" x14ac:dyDescent="0.2">
      <c r="A13" s="18">
        <v>7</v>
      </c>
      <c r="B13" s="19" t="s">
        <v>62</v>
      </c>
      <c r="C13" s="16" t="s">
        <v>25</v>
      </c>
      <c r="D13" s="55">
        <v>8000</v>
      </c>
      <c r="E13" s="22">
        <f>D13/12/5968.42</f>
        <v>0.11169902028789305</v>
      </c>
      <c r="F13" s="68">
        <v>3821.96</v>
      </c>
      <c r="G13" s="17"/>
    </row>
    <row r="14" spans="1:7" ht="14.25" x14ac:dyDescent="0.2">
      <c r="A14" s="18">
        <v>8</v>
      </c>
      <c r="B14" s="19" t="s">
        <v>63</v>
      </c>
      <c r="C14" s="16" t="s">
        <v>16</v>
      </c>
      <c r="D14" s="56">
        <v>10000</v>
      </c>
      <c r="E14" s="22">
        <f>D14/12/5968.42</f>
        <v>0.13962377535986634</v>
      </c>
      <c r="F14" s="68">
        <v>0</v>
      </c>
      <c r="G14" s="17" t="s">
        <v>53</v>
      </c>
    </row>
    <row r="15" spans="1:7" ht="14.25" customHeight="1" x14ac:dyDescent="0.2">
      <c r="A15" s="18">
        <v>9</v>
      </c>
      <c r="B15" s="19" t="s">
        <v>64</v>
      </c>
      <c r="C15" s="16" t="s">
        <v>37</v>
      </c>
      <c r="D15" s="56"/>
      <c r="E15" s="22">
        <f>D15/12/5968.42</f>
        <v>0</v>
      </c>
      <c r="F15" s="68">
        <f>153+418.53</f>
        <v>571.53</v>
      </c>
      <c r="G15" s="17" t="s">
        <v>53</v>
      </c>
    </row>
    <row r="16" spans="1:7" ht="14.25" x14ac:dyDescent="0.2">
      <c r="A16" s="18">
        <v>10</v>
      </c>
      <c r="B16" s="36" t="s">
        <v>60</v>
      </c>
      <c r="C16" s="16"/>
      <c r="D16" s="56"/>
      <c r="E16" s="22"/>
      <c r="F16" s="68"/>
      <c r="G16" s="17"/>
    </row>
    <row r="17" spans="1:8" ht="14.25" x14ac:dyDescent="0.2">
      <c r="A17" s="18"/>
      <c r="B17" s="57" t="s">
        <v>65</v>
      </c>
      <c r="C17" s="31"/>
      <c r="D17" s="58">
        <f>100*12</f>
        <v>1200</v>
      </c>
      <c r="E17" s="38">
        <f>D17/12/5968.42</f>
        <v>1.6754853043183957E-2</v>
      </c>
      <c r="F17" s="68">
        <f>39.71+79.41+98.89+79.11+200</f>
        <v>497.12</v>
      </c>
      <c r="G17" s="17"/>
    </row>
    <row r="18" spans="1:8" ht="14.25" x14ac:dyDescent="0.2">
      <c r="A18" s="18"/>
      <c r="B18" s="57" t="s">
        <v>66</v>
      </c>
      <c r="C18" s="31"/>
      <c r="D18" s="58">
        <v>0</v>
      </c>
      <c r="E18" s="38"/>
      <c r="F18" s="68">
        <f>165.85+34+22+21</f>
        <v>242.85</v>
      </c>
      <c r="G18" s="17"/>
      <c r="H18" s="1">
        <f>F18+F11+F34+F38+F17</f>
        <v>24420.989999999998</v>
      </c>
    </row>
    <row r="19" spans="1:8" ht="14.25" x14ac:dyDescent="0.2">
      <c r="A19" s="18"/>
      <c r="B19" s="30" t="s">
        <v>17</v>
      </c>
      <c r="C19" s="16"/>
      <c r="D19" s="55"/>
      <c r="E19" s="22"/>
      <c r="F19" s="68"/>
      <c r="G19" s="17"/>
    </row>
    <row r="20" spans="1:8" ht="14.25" x14ac:dyDescent="0.2">
      <c r="A20" s="18">
        <v>11</v>
      </c>
      <c r="B20" s="19" t="s">
        <v>67</v>
      </c>
      <c r="C20" s="16" t="s">
        <v>19</v>
      </c>
      <c r="D20" s="55">
        <v>40000</v>
      </c>
      <c r="E20" s="22">
        <f t="shared" ref="E20:E27" si="0">D20/12/5968.42</f>
        <v>0.55849510143946535</v>
      </c>
      <c r="F20" s="68"/>
      <c r="G20" s="17"/>
    </row>
    <row r="21" spans="1:8" x14ac:dyDescent="0.2">
      <c r="A21" s="18"/>
      <c r="B21" s="1" t="s">
        <v>68</v>
      </c>
      <c r="C21" s="16"/>
      <c r="D21" s="1">
        <f>90407-40000+90000</f>
        <v>140407</v>
      </c>
      <c r="E21" s="59">
        <f>D21/6/5968.42</f>
        <v>3.9208310853905504</v>
      </c>
      <c r="F21" s="68"/>
      <c r="G21" s="17"/>
    </row>
    <row r="22" spans="1:8" ht="25.5" x14ac:dyDescent="0.2">
      <c r="A22" s="18">
        <v>12</v>
      </c>
      <c r="B22" s="19" t="s">
        <v>69</v>
      </c>
      <c r="C22" s="16" t="s">
        <v>20</v>
      </c>
      <c r="D22" s="55">
        <v>12000</v>
      </c>
      <c r="E22" s="22">
        <f t="shared" si="0"/>
        <v>0.16754853043183959</v>
      </c>
      <c r="F22" s="68">
        <v>6344.4</v>
      </c>
      <c r="G22" s="17"/>
    </row>
    <row r="23" spans="1:8" ht="14.25" x14ac:dyDescent="0.2">
      <c r="A23" s="18">
        <v>13</v>
      </c>
      <c r="B23" s="19" t="s">
        <v>70</v>
      </c>
      <c r="C23" s="16" t="s">
        <v>71</v>
      </c>
      <c r="D23" s="55">
        <v>4000</v>
      </c>
      <c r="E23" s="22">
        <f t="shared" si="0"/>
        <v>5.5849510143946526E-2</v>
      </c>
      <c r="F23" s="68">
        <v>8716</v>
      </c>
      <c r="G23" s="17"/>
    </row>
    <row r="24" spans="1:8" ht="14.25" x14ac:dyDescent="0.2">
      <c r="A24" s="18">
        <v>14</v>
      </c>
      <c r="B24" s="19" t="s">
        <v>72</v>
      </c>
      <c r="C24" s="16" t="s">
        <v>25</v>
      </c>
      <c r="D24" s="55">
        <v>15000</v>
      </c>
      <c r="E24" s="22">
        <f t="shared" si="0"/>
        <v>0.20943566303979946</v>
      </c>
      <c r="F24" s="68">
        <v>0</v>
      </c>
      <c r="G24" s="17"/>
    </row>
    <row r="25" spans="1:8" ht="14.25" x14ac:dyDescent="0.2">
      <c r="A25" s="18">
        <v>15</v>
      </c>
      <c r="B25" s="28" t="s">
        <v>23</v>
      </c>
      <c r="C25" s="16" t="s">
        <v>24</v>
      </c>
      <c r="D25" s="60">
        <v>45000</v>
      </c>
      <c r="E25" s="22">
        <f t="shared" si="0"/>
        <v>0.62830698911939842</v>
      </c>
      <c r="F25" s="68">
        <v>0</v>
      </c>
      <c r="G25" s="17"/>
    </row>
    <row r="26" spans="1:8" ht="14.25" x14ac:dyDescent="0.2">
      <c r="A26" s="18">
        <v>16</v>
      </c>
      <c r="B26" s="19" t="s">
        <v>73</v>
      </c>
      <c r="C26" s="16" t="s">
        <v>25</v>
      </c>
      <c r="D26" s="55">
        <v>950</v>
      </c>
      <c r="E26" s="22">
        <f t="shared" si="0"/>
        <v>1.3264258659187301E-2</v>
      </c>
      <c r="F26" s="68">
        <v>0</v>
      </c>
      <c r="G26" s="17" t="s">
        <v>53</v>
      </c>
    </row>
    <row r="27" spans="1:8" ht="14.25" x14ac:dyDescent="0.2">
      <c r="A27" s="18">
        <v>17</v>
      </c>
      <c r="B27" s="19" t="s">
        <v>74</v>
      </c>
      <c r="C27" s="16"/>
      <c r="D27" s="55">
        <v>1120</v>
      </c>
      <c r="E27" s="22">
        <f t="shared" si="0"/>
        <v>1.5637862840305026E-2</v>
      </c>
      <c r="F27" s="68"/>
      <c r="G27" s="17" t="s">
        <v>53</v>
      </c>
    </row>
    <row r="28" spans="1:8" ht="12" customHeight="1" x14ac:dyDescent="0.2">
      <c r="A28" s="18"/>
      <c r="B28" s="30" t="s">
        <v>26</v>
      </c>
      <c r="C28" s="16"/>
      <c r="D28" s="61"/>
      <c r="E28" s="22"/>
      <c r="F28" s="68"/>
      <c r="G28" s="17"/>
    </row>
    <row r="29" spans="1:8" ht="12" customHeight="1" x14ac:dyDescent="0.2">
      <c r="A29" s="18">
        <v>18</v>
      </c>
      <c r="B29" s="28" t="s">
        <v>75</v>
      </c>
      <c r="C29" s="16" t="s">
        <v>29</v>
      </c>
      <c r="D29" s="55">
        <f>7075*12*0.5</f>
        <v>42450</v>
      </c>
      <c r="E29" s="22">
        <f>D29/12/5968.42</f>
        <v>0.59270292640263256</v>
      </c>
      <c r="F29" s="68">
        <f>72828+10345.2</f>
        <v>83173.2</v>
      </c>
      <c r="G29" s="17"/>
    </row>
    <row r="30" spans="1:8" ht="12" customHeight="1" x14ac:dyDescent="0.2">
      <c r="A30" s="18">
        <v>19</v>
      </c>
      <c r="B30" s="28" t="s">
        <v>76</v>
      </c>
      <c r="C30" s="16" t="s">
        <v>29</v>
      </c>
      <c r="D30" s="55">
        <f>D29</f>
        <v>42450</v>
      </c>
      <c r="E30" s="22">
        <f>D30/12/5968.42</f>
        <v>0.59270292640263256</v>
      </c>
      <c r="F30" s="68">
        <v>0</v>
      </c>
      <c r="G30" s="17"/>
    </row>
    <row r="31" spans="1:8" ht="12" customHeight="1" x14ac:dyDescent="0.2">
      <c r="A31" s="18">
        <v>20</v>
      </c>
      <c r="B31" s="19" t="s">
        <v>28</v>
      </c>
      <c r="C31" s="16" t="s">
        <v>29</v>
      </c>
      <c r="D31" s="55">
        <f>7075*12*0.5</f>
        <v>42450</v>
      </c>
      <c r="E31" s="22">
        <f>D31/12/5968.42</f>
        <v>0.59270292640263256</v>
      </c>
      <c r="F31" s="68">
        <f>75860.4+6896.4</f>
        <v>82756.799999999988</v>
      </c>
      <c r="G31" s="17"/>
    </row>
    <row r="32" spans="1:8" ht="12" customHeight="1" x14ac:dyDescent="0.2">
      <c r="A32" s="18"/>
      <c r="B32" s="36" t="s">
        <v>60</v>
      </c>
      <c r="C32" s="62"/>
      <c r="D32" s="63"/>
      <c r="E32" s="50"/>
      <c r="F32" s="68"/>
      <c r="G32" s="17"/>
    </row>
    <row r="33" spans="1:7" ht="12" customHeight="1" x14ac:dyDescent="0.2">
      <c r="A33" s="18">
        <v>21</v>
      </c>
      <c r="B33" s="57" t="s">
        <v>77</v>
      </c>
      <c r="C33" s="31"/>
      <c r="D33" s="58">
        <v>1000</v>
      </c>
      <c r="E33" s="38">
        <f>D33/12/5968.42</f>
        <v>1.3962377535986632E-2</v>
      </c>
      <c r="F33" s="68">
        <v>0</v>
      </c>
      <c r="G33" s="17"/>
    </row>
    <row r="34" spans="1:7" ht="12" customHeight="1" x14ac:dyDescent="0.2">
      <c r="A34" s="18">
        <v>22</v>
      </c>
      <c r="B34" s="57" t="s">
        <v>78</v>
      </c>
      <c r="C34" s="31"/>
      <c r="D34" s="58">
        <v>1500</v>
      </c>
      <c r="E34" s="38">
        <f>D34/12/5968.42</f>
        <v>2.0943566303979949E-2</v>
      </c>
      <c r="F34" s="68">
        <f>35+51+92.6+14.9+61+139.9+110+95+32.3+147.4+53.8+77+24.9+26.25+63.6+63.4+75+250+45+30+64.6+103+45+19+27+67.2+87+80+129.8</f>
        <v>2110.65</v>
      </c>
      <c r="G34" s="17"/>
    </row>
    <row r="35" spans="1:7" ht="12" customHeight="1" x14ac:dyDescent="0.2">
      <c r="A35" s="18"/>
      <c r="B35" s="30" t="s">
        <v>31</v>
      </c>
      <c r="C35" s="16"/>
      <c r="D35" s="61"/>
      <c r="E35" s="22"/>
      <c r="F35" s="68"/>
      <c r="G35" s="17"/>
    </row>
    <row r="36" spans="1:7" ht="24" customHeight="1" x14ac:dyDescent="0.2">
      <c r="A36" s="18">
        <v>23</v>
      </c>
      <c r="B36" s="19" t="s">
        <v>79</v>
      </c>
      <c r="C36" s="16" t="s">
        <v>29</v>
      </c>
      <c r="D36" s="61">
        <f>12*1.27*4200</f>
        <v>64008</v>
      </c>
      <c r="E36" s="22">
        <f t="shared" ref="E36:E44" si="1">D36/12/5968.42</f>
        <v>0.89370386132343227</v>
      </c>
      <c r="F36" s="68">
        <v>66906.73</v>
      </c>
      <c r="G36" s="17"/>
    </row>
    <row r="37" spans="1:7" ht="14.25" x14ac:dyDescent="0.2">
      <c r="A37" s="18">
        <v>24</v>
      </c>
      <c r="B37" s="19" t="s">
        <v>34</v>
      </c>
      <c r="C37" s="16" t="s">
        <v>29</v>
      </c>
      <c r="D37" s="64">
        <f>0.71*12*5968.42</f>
        <v>50850.938399999999</v>
      </c>
      <c r="E37" s="22">
        <f t="shared" si="1"/>
        <v>0.71</v>
      </c>
      <c r="F37" s="68">
        <v>54611.040000000001</v>
      </c>
      <c r="G37" s="17"/>
    </row>
    <row r="38" spans="1:7" ht="14.25" x14ac:dyDescent="0.2">
      <c r="A38" s="18"/>
      <c r="B38" s="19" t="s">
        <v>66</v>
      </c>
      <c r="C38" s="16"/>
      <c r="D38" s="64">
        <v>0</v>
      </c>
      <c r="E38" s="22"/>
      <c r="F38" s="68">
        <f>100+172.2+576+36+350+6+248+42+200+34.6+600+69+560+1890+104+945+52</f>
        <v>5984.8</v>
      </c>
      <c r="G38" s="17"/>
    </row>
    <row r="39" spans="1:7" s="40" customFormat="1" ht="25.5" x14ac:dyDescent="0.2">
      <c r="A39" s="35">
        <v>25</v>
      </c>
      <c r="B39" s="36" t="s">
        <v>36</v>
      </c>
      <c r="C39" s="31" t="s">
        <v>37</v>
      </c>
      <c r="D39" s="65">
        <v>10000</v>
      </c>
      <c r="E39" s="38">
        <f t="shared" si="1"/>
        <v>0.13962377535986634</v>
      </c>
      <c r="F39" s="69">
        <f>27000+94.63+500+2472+83.84+354+279.71+383+190.88+700+2901+15633.65+13896+1140+465+1700.5+1463+150+125.22+69.51+1580.93+1162.68+134.97+2758.8+6837.8</f>
        <v>82077.119999999981</v>
      </c>
      <c r="G39" s="66"/>
    </row>
    <row r="40" spans="1:7" ht="14.25" x14ac:dyDescent="0.2">
      <c r="A40" s="18">
        <v>26</v>
      </c>
      <c r="B40" s="41" t="s">
        <v>38</v>
      </c>
      <c r="C40" s="16" t="s">
        <v>29</v>
      </c>
      <c r="D40" s="64">
        <f>1.1*5968.42*12</f>
        <v>78783.144</v>
      </c>
      <c r="E40" s="22">
        <f t="shared" si="1"/>
        <v>1.0999999999999999</v>
      </c>
      <c r="F40" s="68">
        <v>88869.78</v>
      </c>
      <c r="G40" s="17"/>
    </row>
    <row r="41" spans="1:7" ht="25.5" x14ac:dyDescent="0.2">
      <c r="A41" s="18">
        <v>27</v>
      </c>
      <c r="B41" s="41" t="s">
        <v>39</v>
      </c>
      <c r="C41" s="16" t="s">
        <v>37</v>
      </c>
      <c r="D41" s="61">
        <f>40000</f>
        <v>40000</v>
      </c>
      <c r="E41" s="22">
        <f t="shared" si="1"/>
        <v>0.55849510143946535</v>
      </c>
      <c r="F41" s="68">
        <v>19538.16</v>
      </c>
      <c r="G41" s="17"/>
    </row>
    <row r="42" spans="1:7" ht="25.5" x14ac:dyDescent="0.2">
      <c r="A42" s="18">
        <v>28</v>
      </c>
      <c r="B42" s="41" t="s">
        <v>41</v>
      </c>
      <c r="C42" s="16" t="s">
        <v>37</v>
      </c>
      <c r="D42" s="61">
        <f>850*12</f>
        <v>10200</v>
      </c>
      <c r="E42" s="22">
        <f t="shared" si="1"/>
        <v>0.14241625086706364</v>
      </c>
      <c r="F42" s="68">
        <v>9745.98</v>
      </c>
      <c r="G42" s="17"/>
    </row>
    <row r="43" spans="1:7" ht="18" customHeight="1" x14ac:dyDescent="0.2">
      <c r="A43" s="18">
        <v>29</v>
      </c>
      <c r="B43" s="41" t="s">
        <v>42</v>
      </c>
      <c r="C43" s="16" t="s">
        <v>37</v>
      </c>
      <c r="D43" s="61">
        <f>3000*12</f>
        <v>36000</v>
      </c>
      <c r="E43" s="22">
        <f t="shared" si="1"/>
        <v>0.50264559129551878</v>
      </c>
      <c r="F43" s="68">
        <v>36000</v>
      </c>
      <c r="G43" s="17"/>
    </row>
    <row r="44" spans="1:7" ht="25.5" x14ac:dyDescent="0.2">
      <c r="A44" s="18">
        <v>30</v>
      </c>
      <c r="B44" s="41" t="s">
        <v>43</v>
      </c>
      <c r="C44" s="16" t="s">
        <v>37</v>
      </c>
      <c r="D44" s="61">
        <f>1500*4</f>
        <v>6000</v>
      </c>
      <c r="E44" s="22">
        <f t="shared" si="1"/>
        <v>8.3774265215919796E-2</v>
      </c>
      <c r="F44" s="68">
        <v>6000</v>
      </c>
      <c r="G44" s="17"/>
    </row>
    <row r="45" spans="1:7" ht="14.25" x14ac:dyDescent="0.2">
      <c r="A45" s="17"/>
      <c r="B45" s="17" t="s">
        <v>45</v>
      </c>
      <c r="C45" s="17"/>
      <c r="D45" s="67">
        <f>SUM(D5:D44)</f>
        <v>758369.08239999996</v>
      </c>
      <c r="E45" s="45">
        <f>D45/12/5968.42</f>
        <v>10.588635440088554</v>
      </c>
      <c r="F45" s="70">
        <f>SUM(F5:F44)</f>
        <v>626311.77999999991</v>
      </c>
    </row>
    <row r="47" spans="1:7" hidden="1" x14ac:dyDescent="0.2">
      <c r="E47" s="59">
        <f>D21/6/5968.42</f>
        <v>3.9208310853905504</v>
      </c>
      <c r="F47" s="46">
        <f>E45+E47</f>
        <v>14.509466525479105</v>
      </c>
      <c r="G47" s="46"/>
    </row>
    <row r="48" spans="1:7" hidden="1" x14ac:dyDescent="0.2">
      <c r="B48" s="52"/>
      <c r="F48" s="46"/>
    </row>
    <row r="49" spans="5:8" hidden="1" x14ac:dyDescent="0.2">
      <c r="F49" s="46">
        <f>E45-E30</f>
        <v>9.9959325136859221</v>
      </c>
      <c r="G49" s="1">
        <f>8.04</f>
        <v>8.0399999999999991</v>
      </c>
      <c r="H49" s="46">
        <f>G49-F49</f>
        <v>-1.9559325136859229</v>
      </c>
    </row>
    <row r="50" spans="5:8" x14ac:dyDescent="0.2">
      <c r="E50" s="1">
        <v>8.6300000000000008</v>
      </c>
    </row>
  </sheetData>
  <mergeCells count="2">
    <mergeCell ref="B1:C1"/>
    <mergeCell ref="B2:C2"/>
  </mergeCells>
  <pageMargins left="0.28999999999999998" right="0.14000000000000001" top="7.2916666666666671E-2" bottom="6.25E-2" header="0.23" footer="0.28000000000000003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6"/>
  <sheetViews>
    <sheetView tabSelected="1" view="pageLayout" topLeftCell="A7" zoomScaleNormal="100" workbookViewId="0">
      <selection activeCell="J16" sqref="J16"/>
    </sheetView>
  </sheetViews>
  <sheetFormatPr defaultRowHeight="12.75" x14ac:dyDescent="0.2"/>
  <cols>
    <col min="1" max="1" width="25" customWidth="1"/>
    <col min="2" max="2" width="6.85546875" customWidth="1"/>
    <col min="3" max="3" width="16.28515625" customWidth="1"/>
    <col min="4" max="4" width="15.28515625" customWidth="1"/>
    <col min="5" max="5" width="20.42578125" customWidth="1"/>
    <col min="6" max="6" width="13.7109375" customWidth="1"/>
    <col min="7" max="7" width="9.140625" customWidth="1"/>
    <col min="8" max="8" width="14.5703125" customWidth="1"/>
    <col min="9" max="9" width="14.42578125" customWidth="1"/>
    <col min="10" max="10" width="12.85546875" bestFit="1" customWidth="1"/>
    <col min="11" max="11" width="14.5703125" bestFit="1" customWidth="1"/>
    <col min="12" max="12" width="14.140625" customWidth="1"/>
  </cols>
  <sheetData>
    <row r="1" spans="1:12" ht="15.75" x14ac:dyDescent="0.25">
      <c r="D1" s="74" t="s">
        <v>80</v>
      </c>
    </row>
    <row r="2" spans="1:12" ht="15.75" x14ac:dyDescent="0.25">
      <c r="B2" s="75"/>
      <c r="C2" s="75"/>
      <c r="D2" s="75" t="s">
        <v>81</v>
      </c>
    </row>
    <row r="3" spans="1:12" ht="15.75" x14ac:dyDescent="0.25">
      <c r="A3" s="76"/>
      <c r="B3" s="77"/>
      <c r="C3" s="77"/>
      <c r="D3" s="78" t="s">
        <v>82</v>
      </c>
    </row>
    <row r="4" spans="1:12" ht="15.75" x14ac:dyDescent="0.25">
      <c r="A4" s="76" t="s">
        <v>83</v>
      </c>
      <c r="B4" s="77"/>
      <c r="C4" s="77"/>
      <c r="D4" s="78" t="s">
        <v>84</v>
      </c>
    </row>
    <row r="5" spans="1:12" x14ac:dyDescent="0.2">
      <c r="A5" s="76"/>
      <c r="B5" s="77"/>
      <c r="C5" s="77"/>
      <c r="D5" s="79" t="s">
        <v>85</v>
      </c>
    </row>
    <row r="6" spans="1:12" ht="18" x14ac:dyDescent="0.25">
      <c r="A6" s="80" t="s">
        <v>86</v>
      </c>
      <c r="B6" s="80"/>
      <c r="C6" s="81"/>
      <c r="D6" s="82"/>
      <c r="E6" s="83">
        <v>0</v>
      </c>
      <c r="F6" s="84"/>
      <c r="G6" s="81"/>
      <c r="H6" s="81"/>
    </row>
    <row r="7" spans="1:12" ht="18.75" thickBot="1" x14ac:dyDescent="0.3">
      <c r="A7" s="85" t="s">
        <v>87</v>
      </c>
      <c r="B7" s="80"/>
      <c r="C7" s="81"/>
      <c r="D7" s="82"/>
      <c r="E7" s="83">
        <v>0</v>
      </c>
      <c r="G7" s="81"/>
      <c r="H7" s="81"/>
      <c r="I7" s="86"/>
      <c r="J7" s="87"/>
      <c r="K7" s="87"/>
      <c r="L7" s="87"/>
    </row>
    <row r="8" spans="1:12" ht="51" x14ac:dyDescent="0.2">
      <c r="A8" s="88" t="s">
        <v>88</v>
      </c>
      <c r="B8" s="89" t="s">
        <v>89</v>
      </c>
      <c r="C8" s="90" t="s">
        <v>90</v>
      </c>
      <c r="D8" s="90" t="s">
        <v>91</v>
      </c>
      <c r="E8" s="91" t="s">
        <v>92</v>
      </c>
      <c r="F8" s="92" t="s">
        <v>93</v>
      </c>
      <c r="G8" s="93" t="s">
        <v>94</v>
      </c>
      <c r="H8" s="93" t="s">
        <v>95</v>
      </c>
      <c r="I8" s="149" t="s">
        <v>138</v>
      </c>
      <c r="J8" s="87"/>
      <c r="K8" s="94"/>
      <c r="L8" s="87"/>
    </row>
    <row r="9" spans="1:12" x14ac:dyDescent="0.2">
      <c r="A9" s="95">
        <v>1</v>
      </c>
      <c r="B9" s="96">
        <v>2</v>
      </c>
      <c r="C9" s="97">
        <v>3</v>
      </c>
      <c r="D9" s="98">
        <v>4</v>
      </c>
      <c r="E9" s="97">
        <v>5</v>
      </c>
      <c r="F9" s="98">
        <v>6</v>
      </c>
      <c r="G9" s="95">
        <v>7</v>
      </c>
      <c r="H9" s="146">
        <v>8</v>
      </c>
      <c r="I9" s="151">
        <v>9</v>
      </c>
      <c r="J9" s="87"/>
      <c r="K9" s="87"/>
      <c r="L9" s="87"/>
    </row>
    <row r="10" spans="1:12" ht="29.25" customHeight="1" x14ac:dyDescent="0.2">
      <c r="A10" s="99" t="s">
        <v>96</v>
      </c>
      <c r="B10" s="100">
        <v>1</v>
      </c>
      <c r="C10" s="101">
        <v>630159.37</v>
      </c>
      <c r="D10" s="101">
        <v>630159.37</v>
      </c>
      <c r="E10" s="101">
        <v>758567.15</v>
      </c>
      <c r="F10" s="102">
        <v>645662.78</v>
      </c>
      <c r="G10" s="103"/>
      <c r="H10" s="147">
        <f>D10-E10</f>
        <v>-128407.78000000003</v>
      </c>
      <c r="I10" s="150">
        <f>E10-F10</f>
        <v>112904.37</v>
      </c>
      <c r="J10" s="105"/>
      <c r="K10" s="105"/>
      <c r="L10" s="105"/>
    </row>
    <row r="11" spans="1:12" ht="14.25" x14ac:dyDescent="0.2">
      <c r="A11" s="106" t="s">
        <v>97</v>
      </c>
      <c r="B11" s="100">
        <v>2</v>
      </c>
      <c r="C11" s="107"/>
      <c r="D11" s="108"/>
      <c r="E11" s="101"/>
      <c r="F11" s="101">
        <v>0</v>
      </c>
      <c r="G11" s="103"/>
      <c r="H11" s="147">
        <f t="shared" ref="H11:H20" si="0">D11-E11</f>
        <v>0</v>
      </c>
      <c r="I11" s="150">
        <f t="shared" ref="I11:I21" si="1">E11-F11</f>
        <v>0</v>
      </c>
      <c r="J11" s="87"/>
      <c r="K11" s="105"/>
      <c r="L11" s="105"/>
    </row>
    <row r="12" spans="1:12" ht="14.25" x14ac:dyDescent="0.2">
      <c r="A12" s="106" t="s">
        <v>98</v>
      </c>
      <c r="B12" s="100">
        <v>3</v>
      </c>
      <c r="C12" s="101">
        <v>469129.99</v>
      </c>
      <c r="D12" s="109">
        <v>469129.99</v>
      </c>
      <c r="E12" s="101">
        <v>435006.25</v>
      </c>
      <c r="F12" s="101">
        <v>366639.31</v>
      </c>
      <c r="G12" s="103"/>
      <c r="H12" s="147">
        <f>D12-E12</f>
        <v>34123.739999999991</v>
      </c>
      <c r="I12" s="150">
        <f t="shared" si="1"/>
        <v>68366.94</v>
      </c>
      <c r="J12" s="110"/>
      <c r="K12" s="105"/>
      <c r="L12" s="105"/>
    </row>
    <row r="13" spans="1:12" ht="14.25" x14ac:dyDescent="0.2">
      <c r="A13" s="106" t="s">
        <v>99</v>
      </c>
      <c r="B13" s="100">
        <v>4</v>
      </c>
      <c r="C13" s="101">
        <v>244544.72</v>
      </c>
      <c r="D13" s="109">
        <v>244544.72</v>
      </c>
      <c r="E13" s="101">
        <v>240915</v>
      </c>
      <c r="F13" s="101">
        <v>193561.46</v>
      </c>
      <c r="G13" s="103"/>
      <c r="H13" s="147">
        <f>D13-E13</f>
        <v>3629.7200000000012</v>
      </c>
      <c r="I13" s="150">
        <f t="shared" si="1"/>
        <v>47353.540000000008</v>
      </c>
      <c r="J13" s="87"/>
      <c r="K13" s="87"/>
      <c r="L13" s="87"/>
    </row>
    <row r="14" spans="1:12" ht="14.25" x14ac:dyDescent="0.2">
      <c r="A14" s="106" t="s">
        <v>100</v>
      </c>
      <c r="B14" s="100">
        <v>5</v>
      </c>
      <c r="C14" s="101">
        <v>130157.92</v>
      </c>
      <c r="D14" s="109">
        <v>130157.92</v>
      </c>
      <c r="E14" s="101">
        <v>127527.98</v>
      </c>
      <c r="F14" s="101">
        <v>103005.18</v>
      </c>
      <c r="G14" s="103"/>
      <c r="H14" s="147">
        <f t="shared" si="0"/>
        <v>2629.9400000000023</v>
      </c>
      <c r="I14" s="150">
        <f t="shared" si="1"/>
        <v>24522.800000000003</v>
      </c>
      <c r="J14" s="87"/>
      <c r="K14" s="111"/>
      <c r="L14" s="111"/>
    </row>
    <row r="15" spans="1:12" ht="14.25" x14ac:dyDescent="0.2">
      <c r="A15" s="106" t="s">
        <v>101</v>
      </c>
      <c r="B15" s="100">
        <v>6</v>
      </c>
      <c r="C15" s="101">
        <v>74587.5</v>
      </c>
      <c r="D15" s="101">
        <v>74587.5</v>
      </c>
      <c r="E15" s="101">
        <v>76278.41</v>
      </c>
      <c r="F15" s="101">
        <v>61957.63</v>
      </c>
      <c r="G15" s="103"/>
      <c r="H15" s="147">
        <f t="shared" si="0"/>
        <v>-1690.9100000000035</v>
      </c>
      <c r="I15" s="150">
        <f t="shared" si="1"/>
        <v>14320.780000000006</v>
      </c>
      <c r="J15" s="87"/>
      <c r="K15" s="87"/>
      <c r="L15" s="87"/>
    </row>
    <row r="16" spans="1:12" ht="14.25" x14ac:dyDescent="0.2">
      <c r="A16" s="106" t="s">
        <v>102</v>
      </c>
      <c r="B16" s="100">
        <v>7</v>
      </c>
      <c r="C16" s="101">
        <v>1311408.6200000001</v>
      </c>
      <c r="D16" s="112">
        <v>1311408.6200000001</v>
      </c>
      <c r="E16" s="101">
        <v>1480576.19</v>
      </c>
      <c r="F16" s="101">
        <v>1257688.97</v>
      </c>
      <c r="G16" s="103"/>
      <c r="H16" s="147">
        <f>D16-E16</f>
        <v>-169167.56999999983</v>
      </c>
      <c r="I16" s="150">
        <f t="shared" si="1"/>
        <v>222887.21999999997</v>
      </c>
      <c r="J16" s="87"/>
      <c r="K16" s="87"/>
      <c r="L16" s="87"/>
    </row>
    <row r="17" spans="1:12" ht="14.25" x14ac:dyDescent="0.2">
      <c r="A17" s="106" t="s">
        <v>103</v>
      </c>
      <c r="B17" s="100">
        <v>8</v>
      </c>
      <c r="C17" s="101">
        <v>32346.29</v>
      </c>
      <c r="D17" s="101">
        <v>32346.29</v>
      </c>
      <c r="E17" s="101">
        <v>37125</v>
      </c>
      <c r="F17" s="101">
        <v>31770.17</v>
      </c>
      <c r="G17" s="103"/>
      <c r="H17" s="147">
        <f t="shared" si="0"/>
        <v>-4778.7099999999991</v>
      </c>
      <c r="I17" s="150">
        <f t="shared" si="1"/>
        <v>5354.8300000000017</v>
      </c>
      <c r="J17" s="87"/>
      <c r="K17" s="87"/>
      <c r="L17" s="87"/>
    </row>
    <row r="18" spans="1:12" ht="14.25" x14ac:dyDescent="0.2">
      <c r="A18" s="106" t="s">
        <v>104</v>
      </c>
      <c r="B18" s="100">
        <v>9</v>
      </c>
      <c r="C18" s="101">
        <v>4446</v>
      </c>
      <c r="D18" s="101">
        <v>4446</v>
      </c>
      <c r="E18" s="101">
        <v>4446</v>
      </c>
      <c r="F18" s="101">
        <v>3826.37</v>
      </c>
      <c r="G18" s="103"/>
      <c r="H18" s="147">
        <f t="shared" si="0"/>
        <v>0</v>
      </c>
      <c r="I18" s="150">
        <f t="shared" si="1"/>
        <v>619.63000000000011</v>
      </c>
      <c r="J18" s="87"/>
      <c r="K18" s="87"/>
      <c r="L18" s="87"/>
    </row>
    <row r="19" spans="1:12" ht="14.25" x14ac:dyDescent="0.2">
      <c r="A19" s="113" t="s">
        <v>105</v>
      </c>
      <c r="B19" s="100">
        <v>10</v>
      </c>
      <c r="C19" s="114">
        <v>30822.46</v>
      </c>
      <c r="D19" s="114">
        <v>30822.46</v>
      </c>
      <c r="E19" s="114">
        <v>32576.47</v>
      </c>
      <c r="F19" s="114">
        <v>26186.78</v>
      </c>
      <c r="G19" s="103"/>
      <c r="H19" s="147">
        <f t="shared" si="0"/>
        <v>-1754.010000000002</v>
      </c>
      <c r="I19" s="150">
        <f t="shared" si="1"/>
        <v>6389.6900000000023</v>
      </c>
      <c r="J19" s="87"/>
      <c r="K19" s="87"/>
      <c r="L19" s="87"/>
    </row>
    <row r="20" spans="1:12" ht="14.25" x14ac:dyDescent="0.2">
      <c r="A20" s="113" t="s">
        <v>106</v>
      </c>
      <c r="B20" s="100">
        <v>11</v>
      </c>
      <c r="C20" s="114">
        <v>1835.06</v>
      </c>
      <c r="D20" s="114">
        <v>1835.06</v>
      </c>
      <c r="E20" s="114">
        <v>1835.06</v>
      </c>
      <c r="F20" s="114">
        <v>284.26</v>
      </c>
      <c r="G20" s="103"/>
      <c r="H20" s="147">
        <f t="shared" si="0"/>
        <v>0</v>
      </c>
      <c r="I20" s="150">
        <f t="shared" si="1"/>
        <v>1550.8</v>
      </c>
      <c r="J20" s="87"/>
      <c r="K20" s="87"/>
      <c r="L20" s="87"/>
    </row>
    <row r="21" spans="1:12" ht="16.5" thickBot="1" x14ac:dyDescent="0.3">
      <c r="A21" s="115" t="s">
        <v>45</v>
      </c>
      <c r="B21" s="116">
        <v>12</v>
      </c>
      <c r="C21" s="117">
        <f>SUM(C10:C20)</f>
        <v>2929437.93</v>
      </c>
      <c r="D21" s="117">
        <f>SUM(D10:D20)</f>
        <v>2929437.93</v>
      </c>
      <c r="E21" s="117">
        <f>SUM(E10:E20)</f>
        <v>3194853.51</v>
      </c>
      <c r="F21" s="118">
        <f>SUM(F10:F20)</f>
        <v>2690582.9099999997</v>
      </c>
      <c r="G21" s="119">
        <f>F21/E21</f>
        <v>0.8421615894370067</v>
      </c>
      <c r="H21" s="148">
        <f>D21-E21</f>
        <v>-265415.57999999961</v>
      </c>
      <c r="I21" s="152">
        <f>SUM(I10:I20)</f>
        <v>504270.60000000003</v>
      </c>
      <c r="J21" s="104"/>
      <c r="K21" s="87"/>
      <c r="L21" s="87"/>
    </row>
    <row r="22" spans="1:12" ht="22.5" customHeight="1" x14ac:dyDescent="0.25">
      <c r="A22" s="120" t="s">
        <v>107</v>
      </c>
      <c r="B22" s="121"/>
      <c r="C22" s="122"/>
      <c r="D22" s="123">
        <f>C21-D21</f>
        <v>0</v>
      </c>
      <c r="E22" s="124">
        <f>D21-E21</f>
        <v>-265415.57999999961</v>
      </c>
      <c r="F22" s="124"/>
      <c r="G22" s="125"/>
      <c r="H22" s="125"/>
      <c r="I22" s="87"/>
      <c r="J22" s="87"/>
      <c r="K22" s="87"/>
      <c r="L22" s="87"/>
    </row>
    <row r="23" spans="1:12" ht="18" customHeight="1" x14ac:dyDescent="0.3">
      <c r="A23" s="126" t="s">
        <v>108</v>
      </c>
      <c r="B23" s="127"/>
      <c r="C23" s="127"/>
      <c r="D23" s="127"/>
      <c r="E23" s="127"/>
      <c r="F23" s="128">
        <f>E21-F21</f>
        <v>504270.60000000009</v>
      </c>
      <c r="G23" s="128"/>
      <c r="H23" s="129"/>
      <c r="I23" s="87"/>
      <c r="J23" s="87"/>
      <c r="K23" s="87"/>
      <c r="L23" s="87"/>
    </row>
    <row r="24" spans="1:12" ht="18" x14ac:dyDescent="0.25">
      <c r="A24" s="126" t="s">
        <v>109</v>
      </c>
      <c r="B24" s="127"/>
      <c r="C24" s="127"/>
      <c r="D24" s="127"/>
      <c r="E24" s="127"/>
      <c r="G24" s="130"/>
      <c r="H24" s="130">
        <f>F23+E7</f>
        <v>504270.60000000009</v>
      </c>
      <c r="I24" s="131"/>
    </row>
    <row r="25" spans="1:12" ht="18" x14ac:dyDescent="0.25">
      <c r="A25" s="132" t="s">
        <v>110</v>
      </c>
      <c r="B25" s="127"/>
      <c r="C25" s="127"/>
      <c r="D25" s="127"/>
      <c r="E25" s="127"/>
      <c r="F25" s="133"/>
      <c r="G25" s="133"/>
      <c r="H25" s="134">
        <f>D21-E21+E6-H16</f>
        <v>-96248.009999999776</v>
      </c>
    </row>
    <row r="26" spans="1:12" ht="15" x14ac:dyDescent="0.2">
      <c r="A26" s="135" t="s">
        <v>111</v>
      </c>
      <c r="B26" s="136"/>
      <c r="C26" s="136"/>
      <c r="D26" s="136"/>
      <c r="E26" s="136"/>
      <c r="F26" s="136"/>
      <c r="G26" s="137"/>
      <c r="H26" s="138">
        <f>1338*4</f>
        <v>5352</v>
      </c>
    </row>
    <row r="27" spans="1:12" ht="15" x14ac:dyDescent="0.2">
      <c r="A27" s="135" t="s">
        <v>112</v>
      </c>
      <c r="B27" s="136"/>
      <c r="C27" s="136"/>
      <c r="D27" s="136"/>
      <c r="E27" s="136"/>
      <c r="F27" s="136"/>
      <c r="G27" s="137"/>
      <c r="H27" s="139">
        <f>H25-H26</f>
        <v>-101600.00999999978</v>
      </c>
    </row>
    <row r="29" spans="1:12" ht="15" x14ac:dyDescent="0.2">
      <c r="A29" s="140" t="s">
        <v>113</v>
      </c>
      <c r="B29" s="140"/>
      <c r="C29" s="140"/>
      <c r="D29" s="140"/>
      <c r="E29" s="140"/>
      <c r="F29" s="140"/>
      <c r="G29" s="140"/>
      <c r="H29" s="141" t="s">
        <v>114</v>
      </c>
    </row>
    <row r="30" spans="1:12" ht="18" customHeight="1" x14ac:dyDescent="0.2">
      <c r="A30" s="142" t="s">
        <v>115</v>
      </c>
      <c r="B30" s="125"/>
      <c r="C30" s="125"/>
      <c r="D30" s="125"/>
      <c r="E30" s="125"/>
      <c r="F30" s="125"/>
      <c r="G30" s="143"/>
      <c r="H30" s="140" t="s">
        <v>116</v>
      </c>
    </row>
    <row r="31" spans="1:12" x14ac:dyDescent="0.2">
      <c r="A31" s="125"/>
      <c r="B31" s="125"/>
      <c r="C31" s="125"/>
      <c r="D31" s="125"/>
      <c r="E31" s="125"/>
      <c r="F31" s="125"/>
      <c r="G31" s="125"/>
      <c r="H31" s="125"/>
    </row>
    <row r="34" spans="2:6" x14ac:dyDescent="0.2">
      <c r="C34" t="s">
        <v>117</v>
      </c>
    </row>
    <row r="35" spans="2:6" ht="31.5" customHeight="1" x14ac:dyDescent="0.2">
      <c r="C35" t="s">
        <v>118</v>
      </c>
      <c r="D35" s="144" t="s">
        <v>119</v>
      </c>
      <c r="E35" t="s">
        <v>120</v>
      </c>
      <c r="F35" t="s">
        <v>121</v>
      </c>
    </row>
    <row r="36" spans="2:6" x14ac:dyDescent="0.2">
      <c r="B36" t="s">
        <v>71</v>
      </c>
      <c r="C36" s="131">
        <f>[1]начислено!$F$111</f>
        <v>41221.89</v>
      </c>
      <c r="D36" s="131">
        <v>-3693.79</v>
      </c>
      <c r="E36" s="131">
        <f>'[2]2012УК'!$I$87</f>
        <v>41285.296692600001</v>
      </c>
      <c r="F36" s="131">
        <f>E36-(C36+D36)</f>
        <v>3757.1966926000023</v>
      </c>
    </row>
    <row r="37" spans="2:6" x14ac:dyDescent="0.2">
      <c r="B37" t="s">
        <v>52</v>
      </c>
      <c r="C37" s="131">
        <f>[1]начислено!$G$111</f>
        <v>35783.29</v>
      </c>
      <c r="D37" s="131">
        <v>-3728</v>
      </c>
      <c r="E37" s="131">
        <f>'[2]2012УК'!$I$88</f>
        <v>35846.412809200003</v>
      </c>
      <c r="F37" s="131">
        <f t="shared" ref="F37:F47" si="2">E37-(C37+D37)</f>
        <v>3791.1228092000019</v>
      </c>
    </row>
    <row r="38" spans="2:6" x14ac:dyDescent="0.2">
      <c r="B38" t="s">
        <v>122</v>
      </c>
      <c r="C38" s="131">
        <f>[1]начислено!$H$111</f>
        <v>28678.25</v>
      </c>
      <c r="D38" s="131">
        <v>-2571.2199999999998</v>
      </c>
      <c r="E38" s="131">
        <f>'[2]2012УК'!$I$89</f>
        <v>36537.520000000004</v>
      </c>
      <c r="F38" s="131">
        <f t="shared" si="2"/>
        <v>10430.490000000005</v>
      </c>
    </row>
    <row r="39" spans="2:6" x14ac:dyDescent="0.2">
      <c r="B39" t="s">
        <v>123</v>
      </c>
      <c r="C39" s="131">
        <f>[1]начислено!$L$111</f>
        <v>33136.259999999995</v>
      </c>
      <c r="D39" s="131">
        <v>-2897.94</v>
      </c>
      <c r="E39" s="131">
        <f>'[2]2012УК'!$I$90</f>
        <v>33200.610083200001</v>
      </c>
      <c r="F39" s="131">
        <f t="shared" si="2"/>
        <v>2962.290083200005</v>
      </c>
    </row>
    <row r="40" spans="2:6" x14ac:dyDescent="0.2">
      <c r="B40" t="s">
        <v>124</v>
      </c>
      <c r="C40" s="131">
        <f>[1]начислено!$M$111</f>
        <v>33089.56</v>
      </c>
      <c r="D40" s="131">
        <v>-2602.02</v>
      </c>
      <c r="E40" s="131">
        <f>'[2]2012УК'!$I$91</f>
        <v>24891.260878399993</v>
      </c>
      <c r="F40" s="131">
        <f t="shared" si="2"/>
        <v>-5596.2791216000041</v>
      </c>
    </row>
    <row r="41" spans="2:6" x14ac:dyDescent="0.2">
      <c r="B41" t="s">
        <v>125</v>
      </c>
      <c r="C41" s="131">
        <f>[1]начислено!$N$111</f>
        <v>35082.76</v>
      </c>
      <c r="D41" s="131">
        <v>0</v>
      </c>
      <c r="E41" s="131">
        <f>'[2]2012УК'!$I$92</f>
        <v>35081.188426000001</v>
      </c>
      <c r="F41" s="131">
        <f t="shared" si="2"/>
        <v>-1.5715740000014193</v>
      </c>
    </row>
    <row r="42" spans="2:6" x14ac:dyDescent="0.2">
      <c r="B42" t="s">
        <v>126</v>
      </c>
      <c r="C42" s="131">
        <f>[1]начислено!$Q$111</f>
        <v>41737.089999999997</v>
      </c>
      <c r="D42" s="131">
        <v>-5717.61</v>
      </c>
      <c r="E42" s="131">
        <f>'[2]2012УК'!$I$93</f>
        <v>47696.976682399996</v>
      </c>
      <c r="F42" s="131">
        <f t="shared" si="2"/>
        <v>11677.4966824</v>
      </c>
    </row>
    <row r="43" spans="2:6" x14ac:dyDescent="0.2">
      <c r="B43" t="s">
        <v>127</v>
      </c>
      <c r="C43" s="131">
        <f>[1]начислено!$R$111</f>
        <v>44622.84</v>
      </c>
      <c r="D43" s="131">
        <v>-6113.88</v>
      </c>
      <c r="E43" s="131">
        <f>'[2]2012УК'!$I$94</f>
        <v>44662.008800000003</v>
      </c>
      <c r="F43" s="131">
        <f>E43-(C43+D43)</f>
        <v>6153.0488000000041</v>
      </c>
    </row>
    <row r="44" spans="2:6" x14ac:dyDescent="0.2">
      <c r="B44" t="s">
        <v>128</v>
      </c>
      <c r="C44" s="131">
        <f>[1]начислено!$S$111</f>
        <v>42874.239999999998</v>
      </c>
      <c r="D44" s="131">
        <v>-801.48</v>
      </c>
      <c r="E44" s="131">
        <f>'[2]2012УК'!$I$95</f>
        <v>42872.762681400003</v>
      </c>
      <c r="F44" s="131">
        <f t="shared" si="2"/>
        <v>800.00268140000844</v>
      </c>
    </row>
    <row r="45" spans="2:6" x14ac:dyDescent="0.2">
      <c r="B45" t="s">
        <v>129</v>
      </c>
      <c r="C45" s="131">
        <f>[3]начислено!$B$110</f>
        <v>39373.089999999997</v>
      </c>
      <c r="D45" s="131">
        <v>-261.3</v>
      </c>
      <c r="E45" s="131">
        <f>'[2]2013'!$B$49</f>
        <v>39265.690856000001</v>
      </c>
      <c r="F45" s="131">
        <f t="shared" si="2"/>
        <v>153.90085600000748</v>
      </c>
    </row>
    <row r="46" spans="2:6" x14ac:dyDescent="0.2">
      <c r="B46" t="s">
        <v>130</v>
      </c>
      <c r="C46" s="131">
        <f>[3]начислено!$C$110</f>
        <v>45421.95</v>
      </c>
      <c r="D46" s="131">
        <v>0</v>
      </c>
      <c r="E46" s="131">
        <f>'[2]2013'!$C$49</f>
        <v>45419.9312842</v>
      </c>
      <c r="F46" s="131">
        <f t="shared" si="2"/>
        <v>-2.0187157999971532</v>
      </c>
    </row>
    <row r="47" spans="2:6" x14ac:dyDescent="0.2">
      <c r="B47" t="s">
        <v>131</v>
      </c>
      <c r="C47" s="131">
        <f>[3]начислено!$D$110</f>
        <v>42372.27</v>
      </c>
      <c r="D47" s="131">
        <v>0</v>
      </c>
      <c r="E47" s="131">
        <f>'[2]2013'!$D$49</f>
        <v>42370.315082399997</v>
      </c>
      <c r="F47" s="131">
        <f t="shared" si="2"/>
        <v>-1.9549176000000443</v>
      </c>
    </row>
    <row r="48" spans="2:6" x14ac:dyDescent="0.2">
      <c r="B48" t="s">
        <v>132</v>
      </c>
      <c r="C48" s="131">
        <f>SUM(C36:C47)</f>
        <v>463393.49000000005</v>
      </c>
      <c r="D48" s="131">
        <f>SUM(D36:D47)</f>
        <v>-28387.24</v>
      </c>
      <c r="E48" s="131">
        <f>SUM(E36:E47)</f>
        <v>469129.97427579999</v>
      </c>
      <c r="F48" s="131">
        <f>SUM(F36:F47)</f>
        <v>34123.724275800036</v>
      </c>
    </row>
    <row r="50" spans="2:6" x14ac:dyDescent="0.2">
      <c r="C50" t="s">
        <v>133</v>
      </c>
    </row>
    <row r="51" spans="2:6" x14ac:dyDescent="0.2">
      <c r="C51" t="s">
        <v>134</v>
      </c>
      <c r="D51" s="144" t="s">
        <v>135</v>
      </c>
      <c r="E51" t="s">
        <v>120</v>
      </c>
      <c r="F51" t="s">
        <v>121</v>
      </c>
    </row>
    <row r="52" spans="2:6" x14ac:dyDescent="0.2">
      <c r="B52" t="s">
        <v>71</v>
      </c>
      <c r="C52" s="131">
        <f>[1]начислено!$F$10</f>
        <v>8384.08</v>
      </c>
      <c r="D52" s="131">
        <f>150.12*20.51</f>
        <v>3078.9612000000002</v>
      </c>
      <c r="E52" s="131">
        <f>'[2]2012УК'!$C$87</f>
        <v>11465.09</v>
      </c>
      <c r="F52" s="131">
        <f>E52-C52</f>
        <v>3081.01</v>
      </c>
    </row>
    <row r="53" spans="2:6" x14ac:dyDescent="0.2">
      <c r="B53" t="s">
        <v>52</v>
      </c>
      <c r="C53" s="131">
        <f>[1]начислено!$G$10</f>
        <v>6959.69</v>
      </c>
      <c r="D53" s="131"/>
      <c r="E53" s="131">
        <f>'[2]2012УК'!$C$88</f>
        <v>6973.4000000000005</v>
      </c>
      <c r="F53" s="131">
        <f t="shared" ref="F53:F63" si="3">E53-C53</f>
        <v>13.710000000000946</v>
      </c>
    </row>
    <row r="54" spans="2:6" x14ac:dyDescent="0.2">
      <c r="B54" t="s">
        <v>122</v>
      </c>
      <c r="C54" s="131">
        <f>[1]начислено!$H$10</f>
        <v>8786.25</v>
      </c>
      <c r="D54" s="131"/>
      <c r="E54" s="131">
        <f>'[2]2012УК'!$C$89</f>
        <v>8798.7900000000009</v>
      </c>
      <c r="F54" s="131">
        <f t="shared" si="3"/>
        <v>12.540000000000873</v>
      </c>
    </row>
    <row r="55" spans="2:6" x14ac:dyDescent="0.2">
      <c r="B55" t="s">
        <v>123</v>
      </c>
      <c r="C55" s="131">
        <f>[1]начислено!$L$10</f>
        <v>9125.76</v>
      </c>
      <c r="D55" s="131"/>
      <c r="E55" s="131">
        <f>'[2]2012УК'!$C$90</f>
        <v>9609.08</v>
      </c>
      <c r="F55" s="131">
        <f t="shared" si="3"/>
        <v>483.31999999999971</v>
      </c>
    </row>
    <row r="56" spans="2:6" x14ac:dyDescent="0.2">
      <c r="B56" t="s">
        <v>124</v>
      </c>
      <c r="C56" s="131">
        <f>[1]начислено!$M$10</f>
        <v>11077.17</v>
      </c>
      <c r="D56" s="131">
        <f>26.312*21.74</f>
        <v>572.02287999999999</v>
      </c>
      <c r="E56" s="131">
        <f>'[2]2012УК'!$C$91</f>
        <v>10956.96</v>
      </c>
      <c r="F56" s="131">
        <f t="shared" si="3"/>
        <v>-120.21000000000095</v>
      </c>
    </row>
    <row r="57" spans="2:6" x14ac:dyDescent="0.2">
      <c r="B57" t="s">
        <v>125</v>
      </c>
      <c r="C57" s="131">
        <f>[1]начислено!$N$10</f>
        <v>11011.48</v>
      </c>
      <c r="D57" s="131"/>
      <c r="E57" s="131">
        <f>'[2]2012УК'!$C$92</f>
        <v>11011.2</v>
      </c>
      <c r="F57" s="131">
        <f t="shared" si="3"/>
        <v>-0.27999999999883585</v>
      </c>
    </row>
    <row r="58" spans="2:6" x14ac:dyDescent="0.2">
      <c r="B58" t="s">
        <v>126</v>
      </c>
      <c r="C58" s="131">
        <f>[1]начислено!$Q$10</f>
        <v>9624.5</v>
      </c>
      <c r="D58" s="131"/>
      <c r="E58" s="131">
        <f>'[2]2012УК'!$C$93</f>
        <v>8786.02</v>
      </c>
      <c r="F58" s="131">
        <f t="shared" si="3"/>
        <v>-838.47999999999956</v>
      </c>
    </row>
    <row r="59" spans="2:6" x14ac:dyDescent="0.2">
      <c r="B59" t="s">
        <v>127</v>
      </c>
      <c r="C59" s="131">
        <f>[1]начислено!$R$10</f>
        <v>11241.05</v>
      </c>
      <c r="D59" s="131"/>
      <c r="E59" s="131">
        <f>'[2]2012УК'!$C$94</f>
        <v>11240.6</v>
      </c>
      <c r="F59" s="131">
        <f t="shared" si="3"/>
        <v>-0.44999999999890861</v>
      </c>
    </row>
    <row r="60" spans="2:6" x14ac:dyDescent="0.2">
      <c r="B60" t="s">
        <v>128</v>
      </c>
      <c r="C60" s="131">
        <f>[1]начислено!$S$10</f>
        <v>10735.94</v>
      </c>
      <c r="D60" s="131"/>
      <c r="E60" s="131">
        <f>'[2]2012УК'!$C$95</f>
        <v>10735.92</v>
      </c>
      <c r="F60" s="131">
        <f t="shared" si="3"/>
        <v>-2.0000000000436557E-2</v>
      </c>
    </row>
    <row r="61" spans="2:6" x14ac:dyDescent="0.2">
      <c r="B61" t="s">
        <v>129</v>
      </c>
      <c r="C61" s="131">
        <f>[3]начислено!$B$10</f>
        <v>16769.490000000002</v>
      </c>
      <c r="D61" s="131"/>
      <c r="E61" s="131">
        <f>'[2]2013'!$B$41</f>
        <v>16769.14</v>
      </c>
      <c r="F61" s="131">
        <f t="shared" si="3"/>
        <v>-0.35000000000218279</v>
      </c>
    </row>
    <row r="62" spans="2:6" x14ac:dyDescent="0.2">
      <c r="B62" t="s">
        <v>130</v>
      </c>
      <c r="C62" s="131">
        <f>[3]начислено!$C$10</f>
        <v>10254.56</v>
      </c>
      <c r="D62" s="131"/>
      <c r="E62" s="131">
        <f>'[2]2013'!$C$41</f>
        <v>10254.18</v>
      </c>
      <c r="F62" s="131">
        <f t="shared" si="3"/>
        <v>-0.37999999999919964</v>
      </c>
    </row>
    <row r="63" spans="2:6" x14ac:dyDescent="0.2">
      <c r="B63" t="s">
        <v>131</v>
      </c>
      <c r="C63" s="131">
        <f>[3]начислено!$D$10</f>
        <v>13558.01</v>
      </c>
      <c r="D63" s="131"/>
      <c r="E63" s="131">
        <f>'[2]2013'!$D$41</f>
        <v>13557.54</v>
      </c>
      <c r="F63" s="131">
        <f t="shared" si="3"/>
        <v>-0.46999999999934516</v>
      </c>
    </row>
    <row r="64" spans="2:6" x14ac:dyDescent="0.2">
      <c r="B64" t="s">
        <v>132</v>
      </c>
      <c r="C64" s="131">
        <f>SUM(C52:C63)</f>
        <v>127527.98</v>
      </c>
      <c r="D64" s="131">
        <f>SUM(D52:D63)</f>
        <v>3650.9840800000002</v>
      </c>
      <c r="E64" s="131">
        <f>SUM(E52:E63)</f>
        <v>130157.92000000001</v>
      </c>
      <c r="F64" s="131">
        <f>SUM(F52:F63)</f>
        <v>2629.9400000000023</v>
      </c>
    </row>
    <row r="66" spans="2:6" x14ac:dyDescent="0.2">
      <c r="C66" t="s">
        <v>136</v>
      </c>
    </row>
    <row r="67" spans="2:6" x14ac:dyDescent="0.2">
      <c r="C67" t="s">
        <v>134</v>
      </c>
      <c r="D67" s="144" t="s">
        <v>135</v>
      </c>
      <c r="E67" t="s">
        <v>120</v>
      </c>
      <c r="F67" t="s">
        <v>121</v>
      </c>
    </row>
    <row r="68" spans="2:6" x14ac:dyDescent="0.2">
      <c r="B68" t="s">
        <v>71</v>
      </c>
      <c r="C68" s="131">
        <f>[1]начислено!$F$9</f>
        <v>18346.75</v>
      </c>
      <c r="D68" s="131">
        <f>150.12*21.29</f>
        <v>3196.0547999999999</v>
      </c>
      <c r="E68" s="131">
        <f>'[2]2012УК'!$F$87</f>
        <v>21524.19</v>
      </c>
      <c r="F68" s="131">
        <f>E68-C68</f>
        <v>3177.4399999999987</v>
      </c>
    </row>
    <row r="69" spans="2:6" x14ac:dyDescent="0.2">
      <c r="B69" t="s">
        <v>52</v>
      </c>
      <c r="C69" s="131">
        <f>[1]начислено!$G$9</f>
        <v>15595.72</v>
      </c>
      <c r="D69" s="131"/>
      <c r="E69" s="131">
        <f>'[2]2012УК'!$F$88</f>
        <v>15593.850499999997</v>
      </c>
      <c r="F69" s="131">
        <f t="shared" ref="F69:F79" si="4">E69-C69</f>
        <v>-1.8695000000025175</v>
      </c>
    </row>
    <row r="70" spans="2:6" x14ac:dyDescent="0.2">
      <c r="B70" t="s">
        <v>122</v>
      </c>
      <c r="C70" s="131">
        <f>[1]начислено!$H$9</f>
        <v>15815.82</v>
      </c>
      <c r="D70" s="131"/>
      <c r="E70" s="131">
        <f>'[2]2012УК'!$F$89</f>
        <v>15832.329790000002</v>
      </c>
      <c r="F70" s="131">
        <f t="shared" si="4"/>
        <v>16.509790000001885</v>
      </c>
    </row>
    <row r="71" spans="2:6" x14ac:dyDescent="0.2">
      <c r="B71" t="s">
        <v>123</v>
      </c>
      <c r="C71" s="131">
        <f>[1]начислено!$L$9</f>
        <v>16852.98</v>
      </c>
      <c r="D71" s="131"/>
      <c r="E71" s="131">
        <f>'[2]2012УК'!$F$90</f>
        <v>17708.662479999995</v>
      </c>
      <c r="F71" s="131">
        <f t="shared" si="4"/>
        <v>855.68247999999585</v>
      </c>
    </row>
    <row r="72" spans="2:6" x14ac:dyDescent="0.2">
      <c r="B72" t="s">
        <v>124</v>
      </c>
      <c r="C72" s="131">
        <f>[1]начислено!$M$9</f>
        <v>19465.2</v>
      </c>
      <c r="D72" s="131">
        <f>26.312*22.56</f>
        <v>593.59871999999996</v>
      </c>
      <c r="E72" s="131">
        <f>'[2]2012УК'!$F$91</f>
        <v>19095.911999999997</v>
      </c>
      <c r="F72" s="131">
        <f t="shared" si="4"/>
        <v>-369.2880000000041</v>
      </c>
    </row>
    <row r="73" spans="2:6" x14ac:dyDescent="0.2">
      <c r="B73" t="s">
        <v>125</v>
      </c>
      <c r="C73" s="131">
        <f>[1]начислено!$N$9</f>
        <v>21005.42</v>
      </c>
      <c r="D73" s="131"/>
      <c r="E73" s="131">
        <f>'[2]2012УК'!$F$92</f>
        <v>21003.040000000001</v>
      </c>
      <c r="F73" s="131">
        <f t="shared" si="4"/>
        <v>-2.3799999999973807</v>
      </c>
    </row>
    <row r="74" spans="2:6" x14ac:dyDescent="0.2">
      <c r="B74" t="s">
        <v>126</v>
      </c>
      <c r="C74" s="131">
        <f>[1]начислено!$Q$9</f>
        <v>18887.12</v>
      </c>
      <c r="D74" s="131"/>
      <c r="E74" s="131">
        <f>'[2]2012УК'!$F$93</f>
        <v>18833.599999999999</v>
      </c>
      <c r="F74" s="131">
        <f t="shared" si="4"/>
        <v>-53.520000000000437</v>
      </c>
    </row>
    <row r="75" spans="2:6" x14ac:dyDescent="0.2">
      <c r="B75" t="s">
        <v>127</v>
      </c>
      <c r="C75" s="131">
        <f>[1]начислено!$R$9</f>
        <v>22068.68</v>
      </c>
      <c r="D75" s="131"/>
      <c r="E75" s="131">
        <f>'[2]2012УК'!$F$94</f>
        <v>22075.84</v>
      </c>
      <c r="F75" s="131">
        <f t="shared" si="4"/>
        <v>7.1599999999998545</v>
      </c>
    </row>
    <row r="76" spans="2:6" x14ac:dyDescent="0.2">
      <c r="B76" t="s">
        <v>128</v>
      </c>
      <c r="C76" s="131">
        <f>[1]начислено!$S$9</f>
        <v>21134.95</v>
      </c>
      <c r="D76" s="131"/>
      <c r="E76" s="131">
        <f>'[2]2012УК'!$F$95</f>
        <v>21135.590399999997</v>
      </c>
      <c r="F76" s="131">
        <f t="shared" si="4"/>
        <v>0.64039999999658903</v>
      </c>
    </row>
    <row r="77" spans="2:6" x14ac:dyDescent="0.2">
      <c r="B77" t="s">
        <v>129</v>
      </c>
      <c r="C77" s="131">
        <f>[3]начислено!$B$9</f>
        <v>26564.9</v>
      </c>
      <c r="D77" s="131"/>
      <c r="E77" s="131">
        <f>'[2]2013'!$B$45</f>
        <v>26564.912</v>
      </c>
      <c r="F77" s="131">
        <f t="shared" si="4"/>
        <v>1.1999999998806743E-2</v>
      </c>
    </row>
    <row r="78" spans="2:6" x14ac:dyDescent="0.2">
      <c r="B78" t="s">
        <v>130</v>
      </c>
      <c r="C78" s="131">
        <f>[3]начислено!$C$9</f>
        <v>21227.08</v>
      </c>
      <c r="D78" s="131"/>
      <c r="E78" s="131">
        <f>'[2]2013'!$C$45</f>
        <v>21227.135999999999</v>
      </c>
      <c r="F78" s="131">
        <f t="shared" si="4"/>
        <v>5.5999999996856786E-2</v>
      </c>
    </row>
    <row r="79" spans="2:6" x14ac:dyDescent="0.2">
      <c r="B79" t="s">
        <v>131</v>
      </c>
      <c r="C79" s="131">
        <f>[3]начислено!$D$9</f>
        <v>23950.38</v>
      </c>
      <c r="D79" s="131"/>
      <c r="E79" s="131">
        <f>'[2]2013'!$D$45</f>
        <v>23949.664000000001</v>
      </c>
      <c r="F79" s="131">
        <f t="shared" si="4"/>
        <v>-0.71600000000034925</v>
      </c>
    </row>
    <row r="80" spans="2:6" x14ac:dyDescent="0.2">
      <c r="B80" t="s">
        <v>132</v>
      </c>
      <c r="C80" s="131">
        <f>SUM(C68:C79)</f>
        <v>240915</v>
      </c>
      <c r="D80" s="131">
        <f>SUM(D68:D79)</f>
        <v>3789.6535199999998</v>
      </c>
      <c r="E80" s="131">
        <f>SUM(E68:E79)</f>
        <v>244544.72716999997</v>
      </c>
      <c r="F80" s="131">
        <f>SUM(F68:F79)</f>
        <v>3629.7271699999837</v>
      </c>
    </row>
    <row r="82" spans="2:6" x14ac:dyDescent="0.2">
      <c r="C82" t="s">
        <v>137</v>
      </c>
    </row>
    <row r="83" spans="2:6" x14ac:dyDescent="0.2">
      <c r="C83" t="s">
        <v>134</v>
      </c>
      <c r="D83" s="144"/>
      <c r="E83" t="s">
        <v>120</v>
      </c>
      <c r="F83" t="s">
        <v>121</v>
      </c>
    </row>
    <row r="84" spans="2:6" x14ac:dyDescent="0.2">
      <c r="B84" t="s">
        <v>71</v>
      </c>
      <c r="C84" s="131">
        <f>[1]начислено!$F$3</f>
        <v>2084.8000000000002</v>
      </c>
      <c r="D84" s="131"/>
      <c r="E84" s="131">
        <v>2084.8000000000002</v>
      </c>
      <c r="F84" s="131">
        <f>E84-C84</f>
        <v>0</v>
      </c>
    </row>
    <row r="85" spans="2:6" x14ac:dyDescent="0.2">
      <c r="B85" t="s">
        <v>52</v>
      </c>
      <c r="C85" s="131">
        <f>[1]начислено!$G$3</f>
        <v>1747.6</v>
      </c>
      <c r="D85" s="131"/>
      <c r="E85" s="131">
        <v>0</v>
      </c>
      <c r="F85" s="131">
        <f t="shared" ref="F85:F95" si="5">E85-C85</f>
        <v>-1747.6</v>
      </c>
    </row>
    <row r="86" spans="2:6" x14ac:dyDescent="0.2">
      <c r="B86" t="s">
        <v>122</v>
      </c>
      <c r="C86" s="131">
        <f>[1]начислено!$H$3</f>
        <v>1933.7</v>
      </c>
      <c r="D86" s="131"/>
      <c r="E86" s="131">
        <v>1933.7</v>
      </c>
      <c r="F86" s="131">
        <f t="shared" si="5"/>
        <v>0</v>
      </c>
    </row>
    <row r="87" spans="2:6" x14ac:dyDescent="0.2">
      <c r="B87" t="s">
        <v>123</v>
      </c>
      <c r="C87" s="131">
        <f>[1]начислено!$L$3</f>
        <v>1662.87</v>
      </c>
      <c r="D87" s="131"/>
      <c r="E87" s="131">
        <v>1662.87</v>
      </c>
      <c r="F87" s="131">
        <f t="shared" si="5"/>
        <v>0</v>
      </c>
    </row>
    <row r="88" spans="2:6" x14ac:dyDescent="0.2">
      <c r="B88" t="s">
        <v>124</v>
      </c>
      <c r="C88" s="131">
        <f>[1]начислено!$M$3</f>
        <v>2137.08</v>
      </c>
      <c r="D88" s="131"/>
      <c r="E88" s="131">
        <v>2137.08</v>
      </c>
      <c r="F88" s="131">
        <f t="shared" si="5"/>
        <v>0</v>
      </c>
    </row>
    <row r="89" spans="2:6" x14ac:dyDescent="0.2">
      <c r="B89" t="s">
        <v>125</v>
      </c>
      <c r="C89" s="131">
        <f>[1]начислено!$N$3</f>
        <v>2630.04</v>
      </c>
      <c r="D89" s="131"/>
      <c r="E89" s="131">
        <v>2623.65</v>
      </c>
      <c r="F89" s="131">
        <f t="shared" si="5"/>
        <v>-6.3899999999998727</v>
      </c>
    </row>
    <row r="90" spans="2:6" x14ac:dyDescent="0.2">
      <c r="B90" t="s">
        <v>126</v>
      </c>
      <c r="C90" s="131">
        <f>[1]начислено!$Q$3</f>
        <v>3220.47</v>
      </c>
      <c r="D90" s="131"/>
      <c r="E90" s="131">
        <v>3220.47</v>
      </c>
      <c r="F90" s="131">
        <f t="shared" si="5"/>
        <v>0</v>
      </c>
    </row>
    <row r="91" spans="2:6" x14ac:dyDescent="0.2">
      <c r="B91" t="s">
        <v>127</v>
      </c>
      <c r="C91" s="131">
        <f>[1]начислено!$R$3</f>
        <v>3221.34</v>
      </c>
      <c r="D91" s="131"/>
      <c r="E91" s="131">
        <v>3221.34</v>
      </c>
      <c r="F91" s="131">
        <f t="shared" si="5"/>
        <v>0</v>
      </c>
    </row>
    <row r="92" spans="2:6" x14ac:dyDescent="0.2">
      <c r="B92" t="s">
        <v>128</v>
      </c>
      <c r="C92" s="131">
        <f>[1]начислено!$S$3</f>
        <v>3640.83</v>
      </c>
      <c r="D92" s="131"/>
      <c r="E92" s="131">
        <v>3640.83</v>
      </c>
      <c r="F92" s="131">
        <f t="shared" si="5"/>
        <v>0</v>
      </c>
    </row>
    <row r="93" spans="2:6" x14ac:dyDescent="0.2">
      <c r="B93" t="s">
        <v>129</v>
      </c>
      <c r="C93" s="131">
        <f>[3]начислено!$B$3</f>
        <v>3854.25</v>
      </c>
      <c r="D93" s="131"/>
      <c r="E93" s="131">
        <v>3854.25</v>
      </c>
      <c r="F93" s="131">
        <f t="shared" si="5"/>
        <v>0</v>
      </c>
    </row>
    <row r="94" spans="2:6" x14ac:dyDescent="0.2">
      <c r="B94" t="s">
        <v>130</v>
      </c>
      <c r="C94" s="131">
        <f>[3]начислено!$C$3</f>
        <v>3293.22</v>
      </c>
      <c r="D94" s="131"/>
      <c r="E94" s="131">
        <v>3293.22</v>
      </c>
      <c r="F94" s="131">
        <f t="shared" si="5"/>
        <v>0</v>
      </c>
    </row>
    <row r="95" spans="2:6" x14ac:dyDescent="0.2">
      <c r="B95" t="s">
        <v>131</v>
      </c>
      <c r="C95" s="131">
        <f>[3]начислено!$D$3</f>
        <v>3150.27</v>
      </c>
      <c r="D95" s="131"/>
      <c r="E95" s="145"/>
      <c r="F95" s="131">
        <f t="shared" si="5"/>
        <v>-3150.27</v>
      </c>
    </row>
    <row r="96" spans="2:6" x14ac:dyDescent="0.2">
      <c r="B96" t="s">
        <v>132</v>
      </c>
      <c r="C96" s="131">
        <f>SUM(C84:C95)</f>
        <v>32576.470000000005</v>
      </c>
      <c r="D96" s="131"/>
      <c r="E96" s="131">
        <f>SUM(E84:E95)</f>
        <v>27672.21</v>
      </c>
      <c r="F96" s="131">
        <f>SUM(F84:F95)</f>
        <v>-4904.26</v>
      </c>
    </row>
  </sheetData>
  <mergeCells count="4">
    <mergeCell ref="A22:B22"/>
    <mergeCell ref="F23:H23"/>
    <mergeCell ref="A26:G26"/>
    <mergeCell ref="A27:G27"/>
  </mergeCells>
  <pageMargins left="0.35" right="0.15625" top="0.28000000000000003" bottom="0.71" header="0.2" footer="0.38"/>
  <pageSetup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2013 </vt:lpstr>
      <vt:lpstr>план-отчет2012</vt:lpstr>
      <vt:lpstr>отчет2012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2013-12-13T10:42:56Z</dcterms:created>
  <dcterms:modified xsi:type="dcterms:W3CDTF">2013-12-24T13:29:55Z</dcterms:modified>
</cp:coreProperties>
</file>